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Wechselprozesse ext.Lieferanten\"/>
    </mc:Choice>
  </mc:AlternateContent>
  <bookViews>
    <workbookView xWindow="0" yWindow="0" windowWidth="25200" windowHeight="1261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H33" i="7" l="1"/>
  <c r="I33" i="7"/>
  <c r="J33" i="7"/>
  <c r="K33" i="7"/>
  <c r="L33" i="7"/>
  <c r="M33" i="7"/>
  <c r="N33" i="7"/>
  <c r="O33" i="7"/>
  <c r="P33" i="7"/>
  <c r="R33" i="7"/>
  <c r="S33" i="7"/>
  <c r="T33" i="7"/>
  <c r="U33" i="7"/>
  <c r="V33" i="7"/>
  <c r="W33" i="7"/>
  <c r="H34" i="7"/>
  <c r="I34" i="7"/>
  <c r="J34" i="7"/>
  <c r="K34" i="7"/>
  <c r="L34" i="7"/>
  <c r="M34" i="7"/>
  <c r="N34" i="7"/>
  <c r="O34" i="7"/>
  <c r="P34" i="7"/>
  <c r="R34" i="7"/>
  <c r="S34" i="7"/>
  <c r="T34" i="7"/>
  <c r="U34" i="7"/>
  <c r="V34" i="7"/>
  <c r="W34" i="7"/>
  <c r="H35" i="7"/>
  <c r="I35" i="7"/>
  <c r="Q35" i="7" s="1"/>
  <c r="J35" i="7"/>
  <c r="K35" i="7"/>
  <c r="L35" i="7"/>
  <c r="M35" i="7"/>
  <c r="N35" i="7"/>
  <c r="O35" i="7"/>
  <c r="P35" i="7"/>
  <c r="R35" i="7"/>
  <c r="S35" i="7"/>
  <c r="T35" i="7"/>
  <c r="U35" i="7"/>
  <c r="V35" i="7"/>
  <c r="W35" i="7"/>
  <c r="H29" i="7"/>
  <c r="I29" i="7"/>
  <c r="J29" i="7"/>
  <c r="K29" i="7"/>
  <c r="L29" i="7"/>
  <c r="Q29" i="7" s="1"/>
  <c r="M29" i="7"/>
  <c r="N29" i="7"/>
  <c r="O29" i="7"/>
  <c r="P29" i="7"/>
  <c r="R29" i="7"/>
  <c r="X29" i="7" s="1"/>
  <c r="S29" i="7"/>
  <c r="T29" i="7"/>
  <c r="U29" i="7"/>
  <c r="V29" i="7"/>
  <c r="W29" i="7"/>
  <c r="H30" i="7"/>
  <c r="I30" i="7"/>
  <c r="J30" i="7"/>
  <c r="K30" i="7"/>
  <c r="L30" i="7"/>
  <c r="M30" i="7"/>
  <c r="N30" i="7"/>
  <c r="O30" i="7"/>
  <c r="P30" i="7"/>
  <c r="R30" i="7"/>
  <c r="S30" i="7"/>
  <c r="T30" i="7"/>
  <c r="U30" i="7"/>
  <c r="V30" i="7"/>
  <c r="W30" i="7"/>
  <c r="H31" i="7"/>
  <c r="I31" i="7"/>
  <c r="J31" i="7"/>
  <c r="K31" i="7"/>
  <c r="L31" i="7"/>
  <c r="Q31" i="7" s="1"/>
  <c r="M31" i="7"/>
  <c r="N31" i="7"/>
  <c r="O31" i="7"/>
  <c r="P31" i="7"/>
  <c r="R31" i="7"/>
  <c r="S31" i="7"/>
  <c r="T31" i="7"/>
  <c r="U31" i="7"/>
  <c r="V31" i="7"/>
  <c r="W31" i="7"/>
  <c r="H32" i="7"/>
  <c r="I32" i="7"/>
  <c r="J32" i="7"/>
  <c r="K32" i="7"/>
  <c r="L32" i="7"/>
  <c r="M32" i="7"/>
  <c r="N32" i="7"/>
  <c r="O32" i="7"/>
  <c r="P32" i="7"/>
  <c r="R32" i="7"/>
  <c r="S32" i="7"/>
  <c r="T32" i="7"/>
  <c r="U32" i="7"/>
  <c r="V32" i="7"/>
  <c r="W32" i="7"/>
  <c r="F29" i="7"/>
  <c r="F30" i="7"/>
  <c r="F31" i="7"/>
  <c r="F32" i="7"/>
  <c r="F33" i="7"/>
  <c r="F34" i="7"/>
  <c r="F35" i="7"/>
  <c r="X35" i="7" l="1"/>
  <c r="Q34" i="7"/>
  <c r="X34" i="7"/>
  <c r="Q33" i="7"/>
  <c r="X33" i="7"/>
  <c r="Q32" i="7"/>
  <c r="X32" i="7"/>
  <c r="X31" i="7"/>
  <c r="Q30" i="7"/>
  <c r="X30" i="7"/>
  <c r="F27" i="7"/>
  <c r="H27" i="7"/>
  <c r="I27" i="7"/>
  <c r="J27" i="7"/>
  <c r="K27" i="7"/>
  <c r="L27" i="7"/>
  <c r="M27" i="7"/>
  <c r="N27" i="7"/>
  <c r="O27" i="7"/>
  <c r="P27" i="7"/>
  <c r="R27" i="7"/>
  <c r="S27" i="7"/>
  <c r="T27" i="7"/>
  <c r="U27" i="7"/>
  <c r="V27" i="7"/>
  <c r="W27" i="7"/>
  <c r="F28" i="7"/>
  <c r="H28" i="7"/>
  <c r="I28" i="7"/>
  <c r="J28" i="7"/>
  <c r="K28" i="7"/>
  <c r="L28" i="7"/>
  <c r="M28" i="7"/>
  <c r="N28" i="7"/>
  <c r="O28" i="7"/>
  <c r="P28" i="7"/>
  <c r="R28" i="7"/>
  <c r="S28" i="7"/>
  <c r="T28" i="7"/>
  <c r="U28" i="7"/>
  <c r="V28" i="7"/>
  <c r="W28" i="7"/>
  <c r="H26" i="7"/>
  <c r="I26" i="7"/>
  <c r="J26" i="7"/>
  <c r="K26" i="7"/>
  <c r="L26" i="7"/>
  <c r="M26" i="7"/>
  <c r="N26" i="7"/>
  <c r="O26" i="7"/>
  <c r="P26" i="7"/>
  <c r="R26" i="7"/>
  <c r="S26" i="7"/>
  <c r="T26" i="7"/>
  <c r="U26" i="7"/>
  <c r="V26" i="7"/>
  <c r="W26" i="7"/>
  <c r="F26" i="7"/>
  <c r="X28" i="7" l="1"/>
  <c r="Q28" i="7"/>
  <c r="X27" i="7"/>
  <c r="Q27" i="7"/>
  <c r="X26" i="7"/>
  <c r="Q26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F21" i="18"/>
  <c r="E31" i="18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5" i="7" s="1"/>
  <c r="H21" i="4"/>
  <c r="V25" i="7" s="1"/>
  <c r="G21" i="4"/>
  <c r="U25" i="7" s="1"/>
  <c r="F21" i="4"/>
  <c r="T25" i="7" s="1"/>
  <c r="E21" i="4"/>
  <c r="S25" i="7" s="1"/>
  <c r="D21" i="4"/>
  <c r="R25" i="7" s="1"/>
  <c r="M20" i="4"/>
  <c r="M19" i="4"/>
  <c r="M16" i="4"/>
  <c r="M18" i="4"/>
  <c r="M17" i="4"/>
  <c r="M15" i="4"/>
  <c r="M14" i="4"/>
  <c r="M13" i="4"/>
  <c r="M12" i="4"/>
  <c r="M11" i="4"/>
  <c r="X25" i="7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5" i="7" l="1"/>
  <c r="H25" i="7"/>
  <c r="J24" i="7"/>
  <c r="L23" i="7"/>
  <c r="N22" i="7"/>
  <c r="P21" i="7"/>
  <c r="H21" i="7"/>
  <c r="J20" i="7"/>
  <c r="L19" i="7"/>
  <c r="N18" i="7"/>
  <c r="P17" i="7"/>
  <c r="H17" i="7"/>
  <c r="J16" i="7"/>
  <c r="L15" i="7"/>
  <c r="N14" i="7"/>
  <c r="P13" i="7"/>
  <c r="H13" i="7"/>
  <c r="J12" i="7"/>
  <c r="F17" i="7"/>
  <c r="K15" i="7"/>
  <c r="O13" i="7"/>
  <c r="F13" i="7"/>
  <c r="J15" i="7"/>
  <c r="P12" i="7"/>
  <c r="O24" i="7"/>
  <c r="K22" i="7"/>
  <c r="O20" i="7"/>
  <c r="M17" i="7"/>
  <c r="F16" i="7"/>
  <c r="M13" i="7"/>
  <c r="N24" i="7"/>
  <c r="L21" i="7"/>
  <c r="H19" i="7"/>
  <c r="N16" i="7"/>
  <c r="J14" i="7"/>
  <c r="K17" i="7"/>
  <c r="I14" i="7"/>
  <c r="K16" i="7"/>
  <c r="I13" i="7"/>
  <c r="O25" i="7"/>
  <c r="F25" i="7"/>
  <c r="I24" i="7"/>
  <c r="K23" i="7"/>
  <c r="M22" i="7"/>
  <c r="O21" i="7"/>
  <c r="F21" i="7"/>
  <c r="I20" i="7"/>
  <c r="K19" i="7"/>
  <c r="M18" i="7"/>
  <c r="O17" i="7"/>
  <c r="I16" i="7"/>
  <c r="M14" i="7"/>
  <c r="I12" i="7"/>
  <c r="L14" i="7"/>
  <c r="F24" i="7"/>
  <c r="M21" i="7"/>
  <c r="F20" i="7"/>
  <c r="K18" i="7"/>
  <c r="I15" i="7"/>
  <c r="O12" i="7"/>
  <c r="P23" i="7"/>
  <c r="J22" i="7"/>
  <c r="P19" i="7"/>
  <c r="J18" i="7"/>
  <c r="P15" i="7"/>
  <c r="L13" i="7"/>
  <c r="M16" i="7"/>
  <c r="K13" i="7"/>
  <c r="I17" i="7"/>
  <c r="F14" i="7"/>
  <c r="N25" i="7"/>
  <c r="P24" i="7"/>
  <c r="H24" i="7"/>
  <c r="J23" i="7"/>
  <c r="L22" i="7"/>
  <c r="N21" i="7"/>
  <c r="P20" i="7"/>
  <c r="H20" i="7"/>
  <c r="J19" i="7"/>
  <c r="L18" i="7"/>
  <c r="N17" i="7"/>
  <c r="P16" i="7"/>
  <c r="H16" i="7"/>
  <c r="N13" i="7"/>
  <c r="H12" i="7"/>
  <c r="I23" i="7"/>
  <c r="I19" i="7"/>
  <c r="O16" i="7"/>
  <c r="K14" i="7"/>
  <c r="F12" i="7"/>
  <c r="H23" i="7"/>
  <c r="N20" i="7"/>
  <c r="L17" i="7"/>
  <c r="H15" i="7"/>
  <c r="N12" i="7"/>
  <c r="O15" i="7"/>
  <c r="M12" i="7"/>
  <c r="M15" i="7"/>
  <c r="M25" i="7"/>
  <c r="L25" i="7"/>
  <c r="K25" i="7"/>
  <c r="M24" i="7"/>
  <c r="O23" i="7"/>
  <c r="F23" i="7"/>
  <c r="I22" i="7"/>
  <c r="K21" i="7"/>
  <c r="M20" i="7"/>
  <c r="O19" i="7"/>
  <c r="F19" i="7"/>
  <c r="I18" i="7"/>
  <c r="F15" i="7"/>
  <c r="K12" i="7"/>
  <c r="J25" i="7"/>
  <c r="L24" i="7"/>
  <c r="N23" i="7"/>
  <c r="P22" i="7"/>
  <c r="H22" i="7"/>
  <c r="J21" i="7"/>
  <c r="L20" i="7"/>
  <c r="N19" i="7"/>
  <c r="P18" i="7"/>
  <c r="H18" i="7"/>
  <c r="J17" i="7"/>
  <c r="L16" i="7"/>
  <c r="N15" i="7"/>
  <c r="P14" i="7"/>
  <c r="H14" i="7"/>
  <c r="J13" i="7"/>
  <c r="L12" i="7"/>
  <c r="K24" i="7"/>
  <c r="M23" i="7"/>
  <c r="O22" i="7"/>
  <c r="F22" i="7"/>
  <c r="I21" i="7"/>
  <c r="K20" i="7"/>
  <c r="M19" i="7"/>
  <c r="O18" i="7"/>
  <c r="F18" i="7"/>
  <c r="O14" i="7"/>
  <c r="I25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<sst xmlns="http://schemas.openxmlformats.org/spreadsheetml/2006/main" count="1394" uniqueCount="684">
  <si>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</si>
  <si>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</si>
  <si>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</si>
  <si>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</si>
  <si>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</si>
  <si>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</si>
  <si>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</si>
  <si>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</si>
  <si>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</si>
  <si>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</si>
  <si>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</si>
  <si>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</si>
  <si>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</si>
  <si>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</si>
  <si>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</si>
  <si>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</si>
  <si>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</si>
  <si>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</si>
  <si>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</si>
  <si>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</si>
  <si>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</si>
  <si>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</si>
  <si>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</si>
  <si>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</si>
  <si>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</si>
  <si>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</si>
  <si>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</si>
  <si>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</si>
  <si>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</si>
  <si>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</si>
  <si>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</si>
  <si>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</si>
  <si>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</si>
  <si>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</si>
  <si>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</si>
  <si>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</si>
  <si>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</si>
  <si>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</si>
  <si>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</si>
  <si>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</si>
  <si>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</si>
  <si>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</si>
  <si>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</si>
  <si>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</si>
  <si>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</si>
  <si>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</si>
  <si>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</si>
  <si>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</si>
  <si>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</si>
  <si>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</si>
  <si>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</si>
  <si>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</si>
  <si>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</si>
  <si>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</si>
  <si>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</si>
  <si>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</si>
  <si>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</si>
  <si>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</si>
  <si>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</si>
  <si>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</si>
  <si>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</si>
  <si>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</si>
  <si>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</si>
  <si>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</si>
  <si>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</si>
  <si>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</si>
  <si>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</si>
  <si>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</si>
  <si>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</si>
  <si>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</si>
  <si>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</si>
  <si>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</si>
  <si>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</si>
  <si>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</si>
  <si>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</si>
  <si>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</si>
  <si>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</si>
  <si>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</si>
  <si>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</si>
  <si>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</si>
  <si>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</si>
  <si>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</si>
  <si>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</si>
  <si>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</si>
  <si>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</si>
  <si>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</si>
  <si>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</si>
  <si>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</si>
  <si>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</si>
  <si>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</si>
  <si>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</si>
  <si>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</si>
  <si>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</si>
  <si>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</si>
  <si>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</si>
  <si>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</si>
  <si>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</si>
  <si>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</si>
  <si>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</si>
  <si>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</si>
  <si>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</si>
  <si>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</si>
  <si>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</si>
  <si>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</si>
  <si>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</si>
  <si>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</si>
  <si>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</si>
  <si>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</si>
  <si>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</si>
  <si>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</si>
  <si>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</si>
  <si>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</si>
  <si>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</si>
  <si>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</si>
  <si>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</si>
  <si>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</si>
  <si>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</si>
  <si>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</si>
  <si>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</si>
  <si>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</si>
  <si>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</si>
  <si>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</si>
  <si>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</si>
  <si>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</si>
  <si>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</si>
  <si>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</si>
  <si>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</si>
  <si>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</si>
  <si>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</si>
  <si>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</si>
  <si>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</si>
  <si>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</si>
  <si>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</si>
  <si>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</si>
  <si>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</si>
  <si>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</si>
  <si>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</si>
  <si>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</si>
  <si>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</si>
  <si>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</si>
  <si>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</si>
  <si>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</si>
  <si>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</si>
  <si>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</si>
  <si>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</si>
  <si>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</si>
  <si>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</si>
  <si>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</si>
  <si>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</si>
  <si>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</si>
  <si>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</si>
  <si>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</si>
  <si>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</si>
  <si>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</si>
  <si>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</si>
  <si>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</si>
  <si>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</si>
  <si>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</si>
  <si>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</si>
  <si>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</si>
  <si>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</si>
  <si>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</si>
  <si>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</si>
  <si>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</si>
  <si>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</si>
  <si>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</si>
  <si>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</si>
  <si>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</si>
  <si>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</si>
  <si>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</si>
  <si>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</si>
  <si>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</si>
  <si>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</si>
  <si>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</si>
  <si>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</si>
  <si>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</si>
  <si>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</si>
  <si>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</si>
  <si>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</si>
  <si>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</si>
  <si>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</si>
  <si>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</si>
  <si>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</si>
  <si>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</si>
  <si>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</si>
  <si>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</si>
  <si>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</si>
  <si>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</si>
  <si>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</si>
  <si>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</si>
  <si>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</si>
  <si>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</si>
  <si>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</si>
  <si>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</si>
  <si>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</si>
  <si>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</si>
  <si>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</si>
  <si>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</si>
  <si>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</si>
  <si>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</si>
  <si>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</si>
  <si>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</si>
  <si>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</si>
  <si>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</si>
  <si>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</si>
  <si>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</si>
  <si>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</si>
  <si>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</si>
  <si>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</si>
  <si>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</si>
  <si>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</si>
  <si>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</si>
  <si>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</si>
  <si>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</si>
  <si>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</si>
  <si>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</si>
  <si>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</si>
  <si>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</si>
  <si>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</si>
  <si>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</si>
  <si>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</si>
  <si>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</si>
  <si>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</si>
  <si>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</si>
  <si>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</si>
  <si>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</si>
  <si>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</si>
  <si>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</si>
  <si>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</si>
  <si>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</si>
  <si>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</si>
  <si>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</si>
  <si>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</si>
  <si>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</si>
  <si>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</si>
  <si>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</si>
  <si>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</si>
  <si>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</si>
  <si>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</si>
  <si>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</si>
  <si>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</si>
  <si>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</si>
  <si>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</si>
  <si>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</si>
  <si>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</si>
  <si>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</si>
  <si>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</si>
  <si>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</si>
  <si>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</si>
  <si>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</si>
  <si>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</si>
  <si>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</si>
  <si>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</si>
  <si>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</si>
  <si>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</si>
  <si>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</si>
  <si>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</si>
  <si>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</si>
  <si>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</si>
  <si>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</si>
  <si>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</si>
  <si>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</si>
  <si>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</si>
  <si>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</si>
  <si>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</si>
  <si>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</si>
  <si>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</si>
  <si>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</si>
  <si>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</si>
  <si>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</si>
  <si>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</si>
  <si>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</si>
  <si>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</si>
  <si>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</si>
  <si>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</si>
  <si>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</si>
  <si>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</si>
  <si>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</si>
  <si>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</si>
  <si>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</si>
  <si>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</si>
  <si>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</si>
  <si>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</si>
  <si>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</si>
  <si>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</si>
  <si>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</si>
  <si>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</si>
  <si>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</si>
  <si>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</si>
  <si>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</si>
  <si>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</si>
  <si>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</si>
  <si>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</si>
  <si>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</si>
  <si>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</si>
  <si>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</si>
  <si>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</si>
  <si>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</si>
  <si>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</si>
  <si>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</si>
  <si>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</si>
  <si>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</si>
  <si>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</si>
  <si>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</si>
  <si>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</si>
  <si>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</si>
  <si>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</si>
  <si>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</si>
  <si>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</si>
  <si>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</si>
  <si>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</si>
  <si>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</si>
  <si>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</si>
  <si>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</si>
  <si>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</si>
  <si>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</si>
  <si>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</si>
  <si>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</si>
  <si>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</si>
  <si>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</si>
  <si>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</si>
  <si>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</si>
  <si>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</si>
  <si>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</si>
  <si>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</si>
  <si>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</si>
  <si>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</si>
  <si>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</si>
  <si>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</si>
  <si>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</si>
  <si>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</si>
  <si>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</si>
  <si>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</si>
  <si>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</si>
  <si>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</si>
  <si>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</si>
  <si>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</si>
  <si>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</si>
  <si>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</si>
  <si>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</si>
  <si>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</si>
  <si>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</si>
  <si>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</si>
  <si>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</si>
  <si>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</si>
  <si>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</si>
  <si>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</si>
  <si>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</si>
  <si>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</si>
  <si>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</si>
  <si>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</si>
  <si>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</si>
  <si>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</si>
  <si>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</si>
  <si>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</si>
  <si>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</si>
  <si>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</si>
  <si>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</si>
  <si>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</si>
  <si>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</si>
  <si>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</si>
  <si>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</si>
  <si>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</si>
  <si>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</si>
  <si>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</si>
  <si>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</si>
  <si>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</si>
  <si>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</si>
  <si>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</si>
  <si>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</si>
  <si>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</si>
  <si>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</si>
  <si>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</si>
  <si>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</si>
  <si>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</si>
  <si>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</si>
  <si>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</si>
  <si>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</si>
  <si>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</si>
  <si>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</si>
  <si>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</si>
  <si>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</si>
  <si>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</si>
  <si>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</si>
  <si>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</si>
  <si>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</si>
  <si>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</si>
  <si>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</si>
  <si>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</si>
  <si>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</si>
  <si>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</si>
  <si>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</si>
  <si>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</si>
  <si>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</si>
  <si>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</si>
  <si>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</si>
  <si>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</si>
  <si>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</si>
  <si>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</si>
  <si>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</si>
  <si>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</si>
  <si>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</si>
  <si>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</si>
  <si>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</si>
  <si>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</si>
  <si>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</si>
  <si>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</si>
  <si>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</si>
  <si>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</si>
  <si>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</si>
  <si>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</si>
  <si>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</si>
  <si>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</si>
  <si>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</si>
  <si>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</si>
  <si>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</si>
  <si>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</si>
  <si>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</si>
  <si>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</si>
  <si>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</si>
  <si>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</si>
  <si>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</si>
  <si>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</si>
  <si>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</si>
  <si>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</si>
  <si>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</si>
  <si>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</si>
  <si>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</si>
  <si>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</si>
  <si>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</si>
  <si>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</si>
  <si>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</si>
  <si>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</si>
  <si>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</si>
  <si>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</si>
  <si>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</si>
  <si>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</si>
  <si>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</si>
  <si>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</si>
  <si>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</si>
  <si>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</si>
  <si>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</si>
  <si>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</si>
  <si>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</si>
  <si>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</si>
  <si>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</si>
  <si>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</si>
  <si>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</si>
  <si>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</si>
  <si>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</si>
  <si>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</si>
  <si>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</si>
  <si>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</si>
  <si>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</si>
  <si>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</si>
  <si>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</si>
  <si>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</si>
  <si>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</si>
  <si>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</si>
  <si>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</si>
  <si>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</si>
  <si>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</si>
  <si>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</si>
  <si>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</si>
  <si>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</si>
  <si>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</si>
  <si>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</si>
  <si>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</si>
  <si>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</si>
  <si>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</si>
  <si>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</si>
  <si>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</si>
  <si>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</si>
  <si>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</si>
  <si>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</si>
  <si>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</si>
  <si>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</si>
  <si>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</si>
  <si>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</si>
  <si>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</si>
  <si>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</si>
  <si>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</si>
  <si>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</si>
  <si>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</si>
  <si>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</si>
  <si>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</si>
  <si>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</si>
  <si>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</si>
  <si>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</si>
  <si>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</si>
  <si>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</si>
  <si>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</si>
  <si>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</si>
  <si>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</si>
  <si>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</si>
  <si>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</si>
  <si>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</si>
  <si>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</si>
  <si>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</si>
  <si>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</si>
  <si>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</si>
  <si>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</si>
  <si>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</si>
  <si>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</si>
  <si>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</si>
  <si>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</si>
  <si>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</si>
  <si>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</si>
  <si>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</si>
  <si>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</si>
  <si>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</si>
  <si>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</si>
  <si>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</si>
  <si>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</si>
  <si>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</si>
  <si>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</si>
  <si>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</si>
  <si>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</si>
  <si>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</si>
  <si>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</si>
  <si>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</si>
  <si>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</si>
  <si>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</si>
  <si>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</si>
  <si>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</si>
  <si>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</si>
  <si>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</si>
  <si>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</si>
  <si>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</si>
  <si>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</si>
  <si>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</si>
  <si>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</si>
  <si>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</si>
  <si>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</si>
  <si>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</si>
  <si>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</si>
  <si>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</si>
  <si>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</si>
  <si>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</si>
  <si>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</si>
  <si>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</si>
  <si>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</si>
  <si>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</si>
  <si>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</si>
  <si>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</si>
  <si>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</si>
  <si>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</si>
  <si>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</si>
  <si>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</si>
  <si>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</si>
  <si>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</si>
  <si>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</si>
  <si>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</si>
  <si>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</si>
  <si>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</si>
  <si>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</si>
  <si>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</si>
  <si>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</si>
  <si>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</si>
  <si>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</si>
  <si>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</si>
  <si>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</si>
  <si>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</si>
  <si>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</si>
  <si>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</si>
  <si>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</si>
  <si>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</si>
  <si>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</si>
  <si>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</si>
  <si>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</si>
  <si>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</si>
  <si>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</si>
  <si>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</si>
  <si>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</si>
  <si>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</si>
  <si>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</si>
  <si>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</si>
  <si>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</si>
  <si>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</si>
  <si>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</si>
  <si>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</si>
  <si>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</si>
  <si>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</si>
  <si>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</si>
  <si>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</si>
  <si>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</si>
  <si>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</si>
  <si>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</si>
  <si>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</si>
  <si>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</si>
  <si>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</si>
  <si>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</si>
  <si>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</si>
  <si>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</si>
  <si>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</si>
  <si>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</si>
  <si>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</si>
  <si>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</si>
  <si>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</si>
  <si>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</si>
  <si>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</si>
  <si>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</si>
  <si>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</si>
  <si>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</si>
  <si>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</si>
  <si>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</si>
  <si>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</si>
  <si>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</si>
  <si>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</si>
  <si>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</si>
  <si>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</si>
  <si>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</si>
  <si>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</si>
  <si>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</si>
  <si>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</si>
  <si>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</si>
  <si>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</si>
  <si>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</si>
  <si>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</si>
  <si>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</si>
  <si>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</si>
  <si>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</si>
  <si>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</si>
  <si>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</si>
  <si>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</si>
  <si>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</si>
  <si>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</si>
  <si>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</si>
  <si>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</si>
  <si>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</si>
  <si>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</si>
  <si>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</si>
  <si>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</si>
  <si>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</si>
  <si>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</si>
  <si>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</si>
  <si>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</si>
  <si>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</si>
  <si>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</si>
  <si>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</si>
  <si>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</si>
  <si>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</si>
  <si>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</si>
  <si>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</si>
  <si>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</si>
  <si>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</si>
  <si>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</si>
  <si>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</si>
  <si>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</si>
  <si>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</si>
  <si>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</si>
  <si>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</si>
  <si>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</si>
  <si>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</si>
  <si>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DE_GBA04</t>
  </si>
  <si>
    <t>DE_GBH04</t>
  </si>
  <si>
    <t>DE_GKO04</t>
  </si>
  <si>
    <t>DE_GHA04</t>
  </si>
  <si>
    <t>DE_GGB04</t>
  </si>
  <si>
    <t>DE_GGA04</t>
  </si>
  <si>
    <t>DE_GMK03</t>
  </si>
  <si>
    <t>DE_GMF04</t>
  </si>
  <si>
    <t>DE_GMK04</t>
  </si>
  <si>
    <t>DE_GWA04</t>
  </si>
  <si>
    <t>DE_GPD04</t>
  </si>
  <si>
    <t>DE_GBD04</t>
  </si>
  <si>
    <t>Stadtwerke Neuffen AG</t>
  </si>
  <si>
    <t>9870042700004</t>
  </si>
  <si>
    <t>Bahnhofstraße 32</t>
  </si>
  <si>
    <t>D-72639</t>
  </si>
  <si>
    <t>Neuffen</t>
  </si>
  <si>
    <t>Claudia Visockis</t>
  </si>
  <si>
    <t>07025 / 900 3110</t>
  </si>
  <si>
    <t>NCHN007004270000</t>
  </si>
  <si>
    <t>Stuttgarte-Echterdingen</t>
  </si>
  <si>
    <t>DE_GBH03</t>
  </si>
  <si>
    <t>DE_GKO03</t>
  </si>
  <si>
    <t>DE_HEF04</t>
  </si>
  <si>
    <t>DE_GGA03</t>
  </si>
  <si>
    <t>DE_GMF03</t>
  </si>
  <si>
    <t>DE_HKO03</t>
  </si>
  <si>
    <t>DE_HMF04</t>
  </si>
  <si>
    <t>DE_GHD04</t>
  </si>
  <si>
    <t>netznutzung@stadtwerke-neuffen-ag.de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</si>
</sst>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%"/>
    <numFmt numFmtId="166" formatCode="#,##0.000"/>
    <numFmt numFmtId="167" formatCode="0.0"/>
    <numFmt numFmtId="168" formatCode="0.000\ \ "/>
    <numFmt numFmtId="169" formatCode="0.0000\ \ "/>
    <numFmt numFmtId="170" formatCode="General&quot;.&quot;"/>
    <numFmt numFmtId="171" formatCode="_-* #,##0.00\ [$€]_-;\-* #,##0.00\ [$€]_-;_-* &quot;-&quot;??\ [$€]_-;_-@_-"/>
    <numFmt numFmtId="172" formatCode="#,#00"/>
    <numFmt numFmtId="173" formatCode="_(* #,##0.00_);_(* \(#,##0.00\);_(* &quot;-&quot;??_);_(@_)"/>
    <numFmt numFmtId="174" formatCode=";;;"/>
    <numFmt numFmtId="175" formatCode="\$#,#00"/>
    <numFmt numFmtId="176" formatCode="_-* #,##0.00000000\ _€_-;\-* #,##0.00000000\ _€_-;_-* &quot;-&quot;??\ _€_-;_-@_-"/>
    <numFmt numFmtId="177" formatCode="#,##0.00000000_ ;\-#,##0.00000000\ "/>
    <numFmt numFmtId="178" formatCode="#,##0.0_ ;\-#,##0.0\ "/>
    <numFmt numFmtId="179" formatCode="_-\ #,##0.00000000\ _€_-;\-\ #,##0.00000000\ _€_-;_-* &quot;-&quot;??\ _€_-;_-@_-"/>
    <numFmt numFmtId="180" formatCode="\D\-00000"/>
    <numFmt numFmtId="181" formatCode="0\ &quot;h&quot;"/>
    <numFmt numFmtId="182" formatCode="&quot;&lt; &quot;\ #,##0\ &quot;kWh&quot;"/>
    <numFmt numFmtId="183" formatCode="&quot;&lt; &quot;\ #,##0\ &quot;kW&quot;"/>
    <numFmt numFmtId="184" formatCode="\+#,##0.00\ &quot;°C&quot;;\-#,##0.00\ &quot;°C&quot;"/>
    <numFmt numFmtId="185" formatCode="h:mm;@"/>
    <numFmt numFmtId="186" formatCode="&quot;Station S&quot;\ 0"/>
    <numFmt numFmtId="187" formatCode="&quot;T&quot;0"/>
    <numFmt numFmtId="188" formatCode="#,##0.0000000_-\ ;\-#,##0.0000000_-;0"/>
    <numFmt numFmtId="189" formatCode="0.0000"/>
    <numFmt numFmtId="190" formatCode="#,##0.00000_-\ ;\-#,##0.00000_-;0"/>
    <numFmt numFmtId="191" formatCode="#,##0.0_-\ ;\-#,##0.0_-;0"/>
    <numFmt numFmtId="192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0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72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4" fontId="41" fillId="0" borderId="0">
      <alignment horizontal="right"/>
    </xf>
    <xf numFmtId="0" fontId="42" fillId="0" borderId="36" applyNumberFormat="0" applyFill="0" applyAlignment="0" applyProtection="0"/>
    <xf numFmtId="175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2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0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4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6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1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88" fontId="0" fillId="72" borderId="51" xfId="0" applyNumberFormat="1" applyFont="1" applyFill="1" applyBorder="1" applyAlignment="1" applyProtection="1">
      <alignment horizontal="center" vertical="center"/>
    </xf>
    <xf numFmtId="189" fontId="0" fillId="72" borderId="51" xfId="0" applyNumberFormat="1" applyFont="1" applyFill="1" applyBorder="1" applyAlignment="1" applyProtection="1">
      <alignment horizontal="center" vertical="center"/>
    </xf>
    <xf numFmtId="189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6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6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7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6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5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89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6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6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Alignment="1" applyProtection="1">
      <alignment horizontal="center"/>
    </xf>
    <xf numFmtId="179" fontId="0" fillId="0" borderId="0" xfId="1" applyNumberFormat="1" applyFont="1" applyBorder="1" applyProtection="1"/>
    <xf numFmtId="179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69" fontId="7" fillId="0" borderId="17" xfId="3" applyNumberFormat="1" applyFont="1" applyBorder="1" applyAlignment="1" applyProtection="1">
      <alignment vertical="center"/>
    </xf>
    <xf numFmtId="169" fontId="7" fillId="0" borderId="17" xfId="3" applyNumberFormat="1" applyFont="1" applyBorder="1" applyAlignment="1" applyProtection="1">
      <alignment horizontal="center" vertical="center"/>
    </xf>
    <xf numFmtId="168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69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8" fontId="0" fillId="71" borderId="0" xfId="0" applyNumberFormat="1" applyFont="1" applyFill="1" applyBorder="1" applyAlignment="1" applyProtection="1">
      <alignment horizontal="center" vertical="center"/>
      <protection locked="0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89" fontId="0" fillId="71" borderId="41" xfId="0" applyNumberFormat="1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Fill="1" applyBorder="1" applyAlignment="1" applyProtection="1">
      <alignment horizontal="left" vertic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192" fontId="0" fillId="0" borderId="17" xfId="0" applyNumberFormat="1" applyFont="1" applyFill="1" applyBorder="1" applyAlignment="1" applyProtection="1">
      <alignment horizontal="center" vertical="center"/>
    </xf>
    <xf numFmtId="166" fontId="0" fillId="0" borderId="17" xfId="0" applyNumberFormat="1" applyFont="1" applyFill="1" applyBorder="1" applyAlignment="1" applyProtection="1">
      <alignment horizontal="center" vertical="center"/>
    </xf>
    <xf numFmtId="192" fontId="0" fillId="0" borderId="17" xfId="0" applyNumberFormat="1" applyFont="1" applyFill="1" applyBorder="1" applyAlignment="1" applyProtection="1">
      <alignment horizontal="center" vertical="center"/>
      <protection locked="0"/>
    </xf>
    <xf numFmtId="166" fontId="0" fillId="0" borderId="17" xfId="0" applyNumberFormat="1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Border="1" applyAlignment="1" applyProtection="1">
      <alignment horizontal="center" vertical="center"/>
    </xf>
    <xf numFmtId="192" fontId="0" fillId="65" borderId="0" xfId="0" applyNumberFormat="1" applyFont="1" applyFill="1" applyBorder="1" applyAlignment="1" applyProtection="1">
      <alignment horizontal="center"/>
    </xf>
    <xf numFmtId="189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6" fontId="0" fillId="74" borderId="54" xfId="0" applyNumberFormat="1" applyFont="1" applyFill="1" applyBorder="1" applyAlignment="1" applyProtection="1">
      <alignment horizontal="center" vertical="center"/>
    </xf>
    <xf numFmtId="166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7" fontId="0" fillId="0" borderId="0" xfId="69" applyNumberFormat="1" applyFont="1" applyBorder="1" applyProtection="1"/>
    <xf numFmtId="177" fontId="0" fillId="0" borderId="0" xfId="69" applyNumberFormat="1" applyFont="1" applyBorder="1" applyAlignment="1" applyProtection="1">
      <alignment vertical="center"/>
    </xf>
    <xf numFmtId="178" fontId="0" fillId="0" borderId="0" xfId="69" applyNumberFormat="1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18" xfId="69" applyNumberFormat="1" applyFont="1" applyBorder="1" applyProtection="1"/>
    <xf numFmtId="177" fontId="11" fillId="34" borderId="0" xfId="69" applyNumberFormat="1" applyFont="1" applyFill="1" applyBorder="1" applyProtection="1"/>
    <xf numFmtId="178" fontId="11" fillId="34" borderId="0" xfId="69" applyNumberFormat="1" applyFont="1" applyFill="1" applyBorder="1" applyAlignment="1" applyProtection="1">
      <alignment horizontal="center"/>
    </xf>
    <xf numFmtId="179" fontId="11" fillId="34" borderId="0" xfId="69" applyNumberFormat="1" applyFont="1" applyFill="1" applyBorder="1" applyProtection="1"/>
    <xf numFmtId="179" fontId="11" fillId="34" borderId="18" xfId="69" applyNumberFormat="1" applyFont="1" applyFill="1" applyBorder="1" applyProtection="1"/>
    <xf numFmtId="177" fontId="11" fillId="76" borderId="0" xfId="69" applyNumberFormat="1" applyFont="1" applyFill="1" applyBorder="1" applyProtection="1"/>
    <xf numFmtId="178" fontId="11" fillId="76" borderId="0" xfId="69" applyNumberFormat="1" applyFont="1" applyFill="1" applyBorder="1" applyAlignment="1" applyProtection="1">
      <alignment horizontal="center"/>
    </xf>
    <xf numFmtId="179" fontId="11" fillId="76" borderId="0" xfId="69" applyNumberFormat="1" applyFont="1" applyFill="1" applyBorder="1" applyProtection="1"/>
    <xf numFmtId="179" fontId="11" fillId="76" borderId="18" xfId="69" applyNumberFormat="1" applyFont="1" applyFill="1" applyBorder="1" applyProtection="1"/>
    <xf numFmtId="177" fontId="0" fillId="34" borderId="0" xfId="69" applyNumberFormat="1" applyFont="1" applyFill="1" applyBorder="1" applyProtection="1"/>
    <xf numFmtId="178" fontId="0" fillId="34" borderId="0" xfId="69" applyNumberFormat="1" applyFont="1" applyFill="1" applyBorder="1" applyAlignment="1" applyProtection="1">
      <alignment horizontal="center"/>
    </xf>
    <xf numFmtId="179" fontId="0" fillId="34" borderId="0" xfId="69" applyNumberFormat="1" applyFont="1" applyFill="1" applyBorder="1" applyProtection="1"/>
    <xf numFmtId="179" fontId="0" fillId="34" borderId="18" xfId="69" applyNumberFormat="1" applyFont="1" applyFill="1" applyBorder="1" applyProtection="1"/>
    <xf numFmtId="177" fontId="11" fillId="76" borderId="40" xfId="69" applyNumberFormat="1" applyFont="1" applyFill="1" applyBorder="1" applyProtection="1"/>
    <xf numFmtId="178" fontId="11" fillId="76" borderId="40" xfId="69" applyNumberFormat="1" applyFont="1" applyFill="1" applyBorder="1" applyAlignment="1" applyProtection="1">
      <alignment horizontal="center"/>
    </xf>
    <xf numFmtId="179" fontId="11" fillId="76" borderId="40" xfId="69" applyNumberFormat="1" applyFont="1" applyFill="1" applyBorder="1" applyProtection="1"/>
    <xf numFmtId="179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1" fontId="0" fillId="72" borderId="77" xfId="0" applyNumberFormat="1" applyFont="1" applyFill="1" applyBorder="1" applyAlignment="1" applyProtection="1">
      <alignment horizontal="center" vertical="center"/>
    </xf>
    <xf numFmtId="190" fontId="0" fillId="72" borderId="54" xfId="0" applyNumberFormat="1" applyFont="1" applyFill="1" applyBorder="1" applyAlignment="1" applyProtection="1">
      <alignment horizontal="center" vertical="center"/>
    </xf>
    <xf numFmtId="167" fontId="0" fillId="71" borderId="78" xfId="0" applyNumberFormat="1" applyFont="1" applyFill="1" applyBorder="1" applyAlignment="1" applyProtection="1">
      <alignment horizontal="center" vertical="center"/>
      <protection locked="0"/>
    </xf>
    <xf numFmtId="190" fontId="0" fillId="71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1" fontId="0" fillId="33" borderId="17" xfId="0" applyNumberFormat="1" applyFill="1" applyBorder="1" applyAlignment="1" applyProtection="1">
      <alignment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19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H18" sqref="H18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650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651</v>
      </c>
    </row>
    <row r="12" spans="2:7" s="8" customFormat="1">
      <c r="B12" s="8" t="s">
        <v>495</v>
      </c>
    </row>
    <row r="13" spans="2:7" s="8" customFormat="1">
      <c r="B13" s="8" t="s">
        <v>652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4" t="s">
        <v>643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2" sqref="D2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647</v>
      </c>
      <c r="D4" s="27"/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646</v>
      </c>
      <c r="D6" s="27">
        <v>42736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338" t="s">
        <v>666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482</v>
      </c>
      <c r="D11" s="328" t="s">
        <v>667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339" t="s">
        <v>668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 t="s">
        <v>669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340" t="s">
        <v>670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671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683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457</v>
      </c>
      <c r="D27" s="42" t="s">
        <v>394</v>
      </c>
      <c r="E27" s="39"/>
      <c r="F27" s="11"/>
    </row>
    <row r="28" spans="1:15">
      <c r="B28" s="15"/>
      <c r="C28" s="65" t="s">
        <v>497</v>
      </c>
      <c r="D28" s="48" t="str">
        <f>IF(D27&lt;&gt;C28,VLOOKUP(D27,$C$29:$D$48,2,FALSE),C28)</f>
        <v>Neuffen</v>
      </c>
      <c r="E28" s="38"/>
      <c r="F28" s="11"/>
      <c r="G28" s="2"/>
    </row>
    <row r="29" spans="1:15">
      <c r="B29" s="15"/>
      <c r="C29" s="22" t="s">
        <v>394</v>
      </c>
      <c r="D29" s="45" t="s">
        <v>670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429</v>
      </c>
      <c r="D38" s="46"/>
      <c r="E38" s="40"/>
      <c r="F38" s="47"/>
      <c r="G38" s="2"/>
    </row>
    <row r="39" spans="2:7">
      <c r="B39" s="15"/>
      <c r="C39" s="22" t="s">
        <v>430</v>
      </c>
      <c r="D39" s="46"/>
      <c r="E39" s="40"/>
      <c r="F39" s="47"/>
      <c r="G39" s="2"/>
    </row>
    <row r="40" spans="2:7">
      <c r="B40" s="15"/>
      <c r="C40" s="22" t="s">
        <v>431</v>
      </c>
      <c r="D40" s="46"/>
      <c r="E40" s="40"/>
      <c r="F40" s="47"/>
      <c r="G40" s="2"/>
    </row>
    <row r="41" spans="2:7">
      <c r="B41" s="15"/>
      <c r="C41" s="22" t="s">
        <v>432</v>
      </c>
      <c r="D41" s="46"/>
      <c r="E41" s="40"/>
      <c r="F41" s="47"/>
      <c r="G41" s="2"/>
    </row>
    <row r="42" spans="2:7">
      <c r="B42" s="15"/>
      <c r="C42" s="22" t="s">
        <v>433</v>
      </c>
      <c r="D42" s="46"/>
      <c r="E42" s="40"/>
      <c r="F42" s="47"/>
      <c r="G42" s="2"/>
    </row>
    <row r="43" spans="2:7">
      <c r="B43" s="15"/>
      <c r="C43" s="22" t="s">
        <v>434</v>
      </c>
      <c r="D43" s="46"/>
      <c r="E43" s="40"/>
      <c r="F43" s="47"/>
      <c r="G43" s="2"/>
    </row>
    <row r="44" spans="2:7">
      <c r="B44" s="15"/>
      <c r="C44" s="22" t="s">
        <v>435</v>
      </c>
      <c r="D44" s="46"/>
      <c r="E44" s="40"/>
      <c r="F44" s="47"/>
      <c r="G44" s="2"/>
    </row>
    <row r="45" spans="2:7">
      <c r="B45" s="15"/>
      <c r="C45" s="22" t="s">
        <v>436</v>
      </c>
      <c r="D45" s="46"/>
      <c r="E45" s="40"/>
      <c r="F45" s="47"/>
      <c r="G45" s="2"/>
    </row>
    <row r="46" spans="2:7">
      <c r="B46" s="15"/>
      <c r="C46" s="22" t="s">
        <v>437</v>
      </c>
      <c r="D46" s="46"/>
      <c r="E46" s="40"/>
      <c r="F46" s="47"/>
    </row>
    <row r="47" spans="2:7">
      <c r="B47" s="15"/>
      <c r="C47" s="22" t="s">
        <v>438</v>
      </c>
      <c r="D47" s="46"/>
      <c r="E47" s="40"/>
      <c r="F47" s="47"/>
    </row>
    <row r="48" spans="2:7">
      <c r="B48" s="15"/>
      <c r="C48" s="22" t="s">
        <v>439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443</v>
      </c>
      <c r="D5" s="58" t="str">
        <f>Netzbetreiber!$D$9</f>
        <v>Stadtwerke Neuffen AG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8" t="str">
        <f>Netzbetreiber!D28</f>
        <v>Neuffen</v>
      </c>
      <c r="E6" s="15"/>
      <c r="H6" s="67"/>
      <c r="I6" s="67"/>
      <c r="J6" s="67"/>
      <c r="K6" s="67"/>
    </row>
    <row r="7" spans="2:15" ht="15" customHeight="1">
      <c r="B7" s="22"/>
      <c r="C7" s="60" t="s">
        <v>484</v>
      </c>
      <c r="D7" s="325" t="str">
        <f>Netzbetreiber!$D$11</f>
        <v>9870042700004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608</v>
      </c>
      <c r="D13" s="33" t="s">
        <v>609</v>
      </c>
      <c r="E13" s="15"/>
      <c r="H13" s="271" t="s">
        <v>609</v>
      </c>
      <c r="I13" s="271" t="s">
        <v>610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428</v>
      </c>
      <c r="D15" s="42" t="s">
        <v>673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427</v>
      </c>
      <c r="D16" s="42"/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568</v>
      </c>
      <c r="I19" s="270" t="s">
        <v>485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486</v>
      </c>
      <c r="I20" s="270" t="s">
        <v>487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606</v>
      </c>
      <c r="D22" s="49" t="s">
        <v>602</v>
      </c>
      <c r="E22" s="15"/>
      <c r="H22" s="267" t="s">
        <v>602</v>
      </c>
      <c r="I22" s="267" t="s">
        <v>603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604</v>
      </c>
      <c r="E23" s="15"/>
      <c r="H23" s="267" t="s">
        <v>605</v>
      </c>
      <c r="I23" s="8" t="s">
        <v>601</v>
      </c>
      <c r="J23" s="8"/>
      <c r="K23" s="8"/>
      <c r="L23" s="268"/>
    </row>
    <row r="24" spans="2:16" ht="15" customHeight="1">
      <c r="B24" s="22"/>
      <c r="C24" s="24" t="s">
        <v>607</v>
      </c>
      <c r="D24" s="24" t="str">
        <f>IF(D22=$H$22,L24,IF(D23=$H$24,M24,N24))</f>
        <v>=&gt;  Q(D) = KW  x  h(T, SLP-Typ)  x  F(WT)</v>
      </c>
      <c r="E24" s="15"/>
      <c r="H24" s="267" t="s">
        <v>604</v>
      </c>
      <c r="I24" s="267" t="s">
        <v>611</v>
      </c>
      <c r="J24" s="8"/>
      <c r="K24" s="8"/>
      <c r="L24" s="270" t="s">
        <v>612</v>
      </c>
      <c r="M24" s="270" t="s">
        <v>614</v>
      </c>
      <c r="N24" s="270" t="s">
        <v>613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571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615</v>
      </c>
      <c r="D27" s="42" t="s">
        <v>616</v>
      </c>
      <c r="E27" s="15"/>
      <c r="H27" s="294" t="s">
        <v>616</v>
      </c>
      <c r="I27" s="269" t="s">
        <v>617</v>
      </c>
      <c r="J27" s="269" t="s">
        <v>618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5">
        <v>1</v>
      </c>
      <c r="E28" s="15"/>
      <c r="H28" s="270" t="s">
        <v>619</v>
      </c>
      <c r="I28" s="270" t="s">
        <v>620</v>
      </c>
      <c r="J28" s="270" t="s">
        <v>621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6"/>
      <c r="E29" s="15"/>
      <c r="H29" s="270" t="s">
        <v>622</v>
      </c>
      <c r="I29" s="270" t="s">
        <v>623</v>
      </c>
      <c r="J29" s="270" t="s">
        <v>624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490</v>
      </c>
      <c r="C31" s="6" t="s">
        <v>570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625</v>
      </c>
      <c r="I32" s="270" t="s">
        <v>626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627</v>
      </c>
      <c r="I33" s="267" t="s">
        <v>622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542</v>
      </c>
      <c r="C35" s="24" t="s">
        <v>492</v>
      </c>
      <c r="D35" s="42">
        <v>24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543</v>
      </c>
      <c r="C37" s="5" t="s">
        <v>364</v>
      </c>
      <c r="D37" s="34">
        <v>1500000</v>
      </c>
      <c r="E37" s="15" t="s">
        <v>501</v>
      </c>
      <c r="I37" s="267"/>
      <c r="J37" s="267"/>
      <c r="K37" s="267"/>
      <c r="L37" s="267"/>
      <c r="M37" s="268"/>
    </row>
    <row r="38" spans="2:39" customFormat="1" ht="15" customHeight="1">
      <c r="C38" s="8" t="s">
        <v>488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544</v>
      </c>
      <c r="C40" s="5" t="s">
        <v>365</v>
      </c>
      <c r="D40" s="36">
        <v>500</v>
      </c>
      <c r="E40" s="15" t="s">
        <v>534</v>
      </c>
      <c r="H40" s="67"/>
      <c r="I40" s="67"/>
      <c r="J40" s="67"/>
      <c r="K40" s="67"/>
    </row>
    <row r="41" spans="2:39" ht="15" customHeight="1">
      <c r="C41" s="8" t="s">
        <v>489</v>
      </c>
    </row>
    <row r="42" spans="2:39" ht="15" customHeight="1">
      <c r="B42" s="7"/>
      <c r="C42" s="3"/>
    </row>
    <row r="43" spans="2:39" ht="15" customHeight="1">
      <c r="B43" s="7"/>
      <c r="C43" s="3" t="s">
        <v>533</v>
      </c>
    </row>
    <row r="44" spans="2:39" ht="18" customHeight="1">
      <c r="C44" s="3" t="s">
        <v>535</v>
      </c>
    </row>
    <row r="45" spans="2:39" ht="18" customHeight="1">
      <c r="C45" s="3"/>
    </row>
    <row r="46" spans="2:39" ht="15" customHeight="1">
      <c r="B46" s="22" t="s">
        <v>545</v>
      </c>
      <c r="C46" s="60" t="s">
        <v>569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579</v>
      </c>
      <c r="D48" s="45" t="s">
        <v>670</v>
      </c>
    </row>
    <row r="49" spans="3:4" ht="18" customHeight="1">
      <c r="C49" s="22" t="s">
        <v>580</v>
      </c>
      <c r="D49" s="45"/>
    </row>
    <row r="50" spans="3:4" ht="18" customHeight="1">
      <c r="C50" s="22" t="s">
        <v>581</v>
      </c>
      <c r="D50" s="45"/>
    </row>
    <row r="51" spans="3:4" ht="18" customHeight="1">
      <c r="C51" s="22" t="s">
        <v>582</v>
      </c>
      <c r="D51" s="45"/>
    </row>
    <row r="52" spans="3:4" ht="18" customHeight="1">
      <c r="C52" s="22" t="s">
        <v>583</v>
      </c>
      <c r="D52" s="45"/>
    </row>
    <row r="53" spans="3:4" ht="18" customHeight="1">
      <c r="C53" s="22" t="s">
        <v>584</v>
      </c>
      <c r="D53" s="45"/>
    </row>
    <row r="54" spans="3:4" ht="18" customHeight="1">
      <c r="C54" s="22" t="s">
        <v>585</v>
      </c>
      <c r="D54" s="45"/>
    </row>
    <row r="55" spans="3:4" ht="18" customHeight="1">
      <c r="C55" s="22" t="s">
        <v>586</v>
      </c>
      <c r="D55" s="45"/>
    </row>
    <row r="56" spans="3:4" ht="18" customHeight="1">
      <c r="C56" s="22" t="s">
        <v>587</v>
      </c>
      <c r="D56" s="45"/>
    </row>
    <row r="57" spans="3:4" ht="18" customHeight="1">
      <c r="C57" s="22" t="s">
        <v>588</v>
      </c>
      <c r="D57" s="45"/>
    </row>
    <row r="58" spans="3:4" ht="18" customHeight="1">
      <c r="C58" s="22" t="s">
        <v>589</v>
      </c>
      <c r="D58" s="45"/>
    </row>
    <row r="59" spans="3:4" ht="18" customHeight="1">
      <c r="C59" s="22" t="s">
        <v>590</v>
      </c>
      <c r="D59" s="45"/>
    </row>
    <row r="60" spans="3:4" ht="18" customHeight="1">
      <c r="C60" s="22" t="s">
        <v>591</v>
      </c>
      <c r="D60" s="45"/>
    </row>
    <row r="61" spans="3:4" ht="18" customHeight="1">
      <c r="C61" s="22" t="s">
        <v>592</v>
      </c>
      <c r="D61" s="45"/>
    </row>
    <row r="62" spans="3:4" ht="18" customHeight="1">
      <c r="C62" s="22" t="s">
        <v>593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Normal="100" workbookViewId="0">
      <selection activeCell="F25" sqref="F2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537</v>
      </c>
    </row>
    <row r="3" spans="2:56" ht="15" customHeight="1">
      <c r="B3" s="170"/>
    </row>
    <row r="4" spans="2:56">
      <c r="B4" s="129"/>
      <c r="C4" s="56" t="s">
        <v>443</v>
      </c>
      <c r="D4" s="57"/>
      <c r="E4" s="327" t="str">
        <f>Netzbetreiber!D9</f>
        <v>Stadtwerke Neuffen AG</v>
      </c>
      <c r="F4" s="327"/>
      <c r="G4" s="327"/>
      <c r="M4" s="129"/>
      <c r="N4" s="129"/>
      <c r="O4" s="129"/>
    </row>
    <row r="5" spans="2:56">
      <c r="B5" s="129"/>
      <c r="C5" s="56" t="s">
        <v>442</v>
      </c>
      <c r="D5" s="57"/>
      <c r="E5" s="58" t="str">
        <f>Netzbetreiber!D28</f>
        <v>Neuffen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484</v>
      </c>
      <c r="D6" s="57"/>
      <c r="E6" s="326" t="str">
        <f>Netzbetreiber!D11</f>
        <v>9870042700004</v>
      </c>
      <c r="F6" s="326"/>
      <c r="G6" s="326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494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516</v>
      </c>
      <c r="D9" s="129"/>
      <c r="E9" s="129"/>
      <c r="F9" s="153">
        <f>'SLP-Verfahren'!D46</f>
        <v>1</v>
      </c>
      <c r="H9" s="171" t="s">
        <v>594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578</v>
      </c>
      <c r="D10" s="129"/>
      <c r="E10" s="129"/>
      <c r="F10" s="49">
        <v>1</v>
      </c>
      <c r="G10" s="57"/>
      <c r="H10" s="171" t="s">
        <v>595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596</v>
      </c>
      <c r="D11" s="129"/>
      <c r="E11" s="129"/>
      <c r="F11" s="330" t="str">
        <f>INDEX('SLP-Verfahren'!D48:D62,'SLP-Temp-Gebiet #01'!F10)</f>
        <v>Neuffen</v>
      </c>
      <c r="G11" s="330"/>
      <c r="H11" s="286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7" t="s">
        <v>577</v>
      </c>
      <c r="D13" s="347"/>
      <c r="E13" s="347"/>
      <c r="F13" s="181" t="s">
        <v>541</v>
      </c>
      <c r="G13" s="129" t="s">
        <v>539</v>
      </c>
      <c r="H13" s="261" t="s">
        <v>556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8" t="s">
        <v>446</v>
      </c>
      <c r="D14" s="348"/>
      <c r="E14" s="89" t="s">
        <v>447</v>
      </c>
      <c r="F14" s="262" t="s">
        <v>84</v>
      </c>
      <c r="G14" s="263" t="s">
        <v>565</v>
      </c>
      <c r="H14" s="51">
        <v>0</v>
      </c>
      <c r="I14" s="57"/>
      <c r="J14" s="129"/>
      <c r="K14" s="129"/>
      <c r="L14" s="129"/>
      <c r="M14" s="129"/>
      <c r="N14" s="129"/>
      <c r="O14" s="329" t="s">
        <v>644</v>
      </c>
      <c r="R14" s="207" t="s">
        <v>557</v>
      </c>
      <c r="S14" s="207" t="s">
        <v>558</v>
      </c>
      <c r="T14" s="207" t="s">
        <v>559</v>
      </c>
      <c r="U14" s="207" t="s">
        <v>560</v>
      </c>
      <c r="V14" s="207" t="s">
        <v>540</v>
      </c>
      <c r="W14" s="207" t="s">
        <v>561</v>
      </c>
      <c r="X14" s="207" t="s">
        <v>562</v>
      </c>
      <c r="Y14" s="207" t="s">
        <v>563</v>
      </c>
      <c r="Z14" s="207" t="s">
        <v>564</v>
      </c>
      <c r="AA14" s="207" t="s">
        <v>565</v>
      </c>
      <c r="AB14" s="207" t="s">
        <v>566</v>
      </c>
      <c r="AC14" s="207" t="s">
        <v>567</v>
      </c>
    </row>
    <row r="15" spans="2:56" ht="19.5" customHeight="1">
      <c r="B15" s="129"/>
      <c r="C15" s="348" t="s">
        <v>386</v>
      </c>
      <c r="D15" s="348"/>
      <c r="E15" s="89" t="s">
        <v>447</v>
      </c>
      <c r="F15" s="262" t="s">
        <v>70</v>
      </c>
      <c r="G15" s="263" t="s">
        <v>559</v>
      </c>
      <c r="H15" s="51">
        <v>0</v>
      </c>
      <c r="I15" s="57"/>
      <c r="J15" s="129"/>
      <c r="K15" s="129"/>
      <c r="L15" s="129"/>
      <c r="M15" s="129"/>
      <c r="N15" s="129"/>
      <c r="O15" s="343" t="s">
        <v>138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490</v>
      </c>
      <c r="AI15" s="260" t="s">
        <v>542</v>
      </c>
      <c r="AJ15" s="260" t="s">
        <v>543</v>
      </c>
      <c r="AK15" s="260" t="s">
        <v>544</v>
      </c>
      <c r="AL15" s="260" t="s">
        <v>545</v>
      </c>
      <c r="AM15" s="260" t="s">
        <v>546</v>
      </c>
      <c r="AN15" s="260" t="s">
        <v>547</v>
      </c>
      <c r="AO15" s="260" t="s">
        <v>548</v>
      </c>
      <c r="AP15" s="260" t="s">
        <v>549</v>
      </c>
      <c r="AQ15" s="260" t="s">
        <v>550</v>
      </c>
      <c r="AR15" s="260" t="s">
        <v>551</v>
      </c>
      <c r="AS15" s="260" t="s">
        <v>552</v>
      </c>
      <c r="AT15" s="260" t="s">
        <v>553</v>
      </c>
      <c r="AU15" s="260" t="s">
        <v>554</v>
      </c>
      <c r="AV15" s="260" t="s">
        <v>555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511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517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512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519</v>
      </c>
      <c r="D21" s="152" t="s">
        <v>510</v>
      </c>
      <c r="E21" s="278">
        <f>1-SUMPRODUCT(F19:N19,F21:N21)</f>
        <v>1</v>
      </c>
      <c r="F21" s="278">
        <f>ROUND(F22/$D$22,4)</f>
        <v>1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530</v>
      </c>
      <c r="D22" s="184">
        <f>SUMPRODUCT(E22:N22,E19:N19)</f>
        <v>1</v>
      </c>
      <c r="E22" s="346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341" t="s">
        <v>498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5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514</v>
      </c>
      <c r="D24" s="186"/>
      <c r="E24" s="341" t="s">
        <v>674</v>
      </c>
      <c r="F24" s="155" t="s">
        <v>575</v>
      </c>
      <c r="G24" s="155"/>
      <c r="H24" s="155"/>
      <c r="I24" s="155"/>
      <c r="J24" s="155"/>
      <c r="K24" s="155"/>
      <c r="L24" s="155"/>
      <c r="M24" s="155"/>
      <c r="N24" s="155"/>
      <c r="O24" s="183" t="s">
        <v>515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342">
        <v>10738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513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520</v>
      </c>
      <c r="D31" s="184" t="s">
        <v>253</v>
      </c>
      <c r="E31" s="276">
        <f>1-SUMPRODUCT(F29:N29,F31:N31)</f>
        <v>1</v>
      </c>
      <c r="F31" s="276">
        <f>ROUND(F32/$D$32,4)</f>
        <v>0.5</v>
      </c>
      <c r="G31" s="276">
        <f t="shared" ref="G31:N31" si="3">ROUND(G32/$D$32,4)</f>
        <v>0.25</v>
      </c>
      <c r="H31" s="276">
        <f t="shared" si="3"/>
        <v>0.125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526</v>
      </c>
      <c r="D32" s="282">
        <f>SUMPRODUCT(E32:N32,E29:N29)</f>
        <v>1</v>
      </c>
      <c r="E32" s="345">
        <v>1</v>
      </c>
      <c r="F32" s="277">
        <v>0.5</v>
      </c>
      <c r="G32" s="277">
        <v>0.25</v>
      </c>
      <c r="H32" s="277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341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449</v>
      </c>
      <c r="D34" s="152" t="s">
        <v>448</v>
      </c>
      <c r="E34" s="341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598</v>
      </c>
      <c r="D35" s="152" t="s">
        <v>599</v>
      </c>
      <c r="E35" s="341" t="s">
        <v>597</v>
      </c>
      <c r="F35" s="155" t="s">
        <v>597</v>
      </c>
      <c r="G35" s="155" t="s">
        <v>597</v>
      </c>
      <c r="H35" s="155" t="s">
        <v>597</v>
      </c>
      <c r="I35" s="155" t="s">
        <v>597</v>
      </c>
      <c r="J35" s="155" t="s">
        <v>597</v>
      </c>
      <c r="K35" s="155" t="s">
        <v>597</v>
      </c>
      <c r="L35" s="155" t="s">
        <v>597</v>
      </c>
      <c r="M35" s="155" t="s">
        <v>597</v>
      </c>
      <c r="N35" s="155" t="s">
        <v>597</v>
      </c>
      <c r="O35" s="183" t="s">
        <v>141</v>
      </c>
      <c r="Q35" s="209"/>
      <c r="R35" s="67" t="s">
        <v>597</v>
      </c>
      <c r="S35" s="67" t="s">
        <v>600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441</v>
      </c>
      <c r="D36" s="118" t="s">
        <v>531</v>
      </c>
      <c r="E36" s="161" t="s">
        <v>450</v>
      </c>
      <c r="F36" s="161" t="s">
        <v>450</v>
      </c>
      <c r="G36" s="161" t="s">
        <v>451</v>
      </c>
      <c r="H36" s="161" t="s">
        <v>451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524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525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518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522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523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529</v>
      </c>
      <c r="D46" s="199" t="s">
        <v>527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527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572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536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512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519</v>
      </c>
      <c r="D55" s="152" t="s">
        <v>510</v>
      </c>
      <c r="E55" s="276">
        <f>1-SUMPRODUCT(F53:N53,F55:N55)</f>
        <v>1</v>
      </c>
      <c r="F55" s="276">
        <f>ROUND(F56/$D$56,4)</f>
        <v>1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530</v>
      </c>
      <c r="D56" s="184">
        <f>SUMPRODUCT(E56:N56,E53:N53)</f>
        <v>1</v>
      </c>
      <c r="E56" s="277">
        <f>E22</f>
        <v>1</v>
      </c>
      <c r="F56" s="277">
        <f t="shared" ref="F56:N56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514</v>
      </c>
      <c r="D58" s="186"/>
      <c r="E58" s="155" t="str">
        <f>E24</f>
        <v>Stuttgarte-Echterdingen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515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>
        <f>E25</f>
        <v>10738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513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520</v>
      </c>
      <c r="D65" s="184" t="s">
        <v>253</v>
      </c>
      <c r="E65" s="276">
        <f>1-SUMPRODUCT(F63:N63,F65:N65)</f>
        <v>1</v>
      </c>
      <c r="F65" s="276">
        <f>ROUND(F66/$D$66,4)</f>
        <v>0.5</v>
      </c>
      <c r="G65" s="276">
        <f t="shared" ref="G65:N65" si="12">ROUND(G66/$D$66,4)</f>
        <v>0.25</v>
      </c>
      <c r="H65" s="276">
        <f t="shared" si="12"/>
        <v>0.125</v>
      </c>
      <c r="I65" s="276">
        <f t="shared" si="12"/>
        <v>0</v>
      </c>
      <c r="J65" s="276">
        <f t="shared" si="12"/>
        <v>0</v>
      </c>
      <c r="K65" s="276">
        <f t="shared" si="12"/>
        <v>0</v>
      </c>
      <c r="L65" s="276">
        <f t="shared" si="12"/>
        <v>0</v>
      </c>
      <c r="M65" s="276">
        <f t="shared" si="12"/>
        <v>0</v>
      </c>
      <c r="N65" s="276">
        <f t="shared" si="12"/>
        <v>0</v>
      </c>
      <c r="O65" s="183"/>
    </row>
    <row r="66" spans="2:15">
      <c r="B66" s="181"/>
      <c r="C66" s="182" t="s">
        <v>526</v>
      </c>
      <c r="D66" s="184">
        <f>SUMPRODUCT(E66:N66,E63:N63)</f>
        <v>1</v>
      </c>
      <c r="E66" s="284">
        <f>E32</f>
        <v>1</v>
      </c>
      <c r="F66" s="284">
        <f t="shared" ref="F66:N66" si="13">F32</f>
        <v>0.5</v>
      </c>
      <c r="G66" s="284">
        <f t="shared" si="13"/>
        <v>0.25</v>
      </c>
      <c r="H66" s="284">
        <f t="shared" si="13"/>
        <v>0.125</v>
      </c>
      <c r="I66" s="284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449</v>
      </c>
      <c r="D68" s="152" t="s">
        <v>448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598</v>
      </c>
      <c r="D69" s="152" t="s">
        <v>599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441</v>
      </c>
      <c r="D70" s="118" t="s">
        <v>531</v>
      </c>
      <c r="E70" s="162" t="s">
        <v>451</v>
      </c>
      <c r="F70" s="162" t="s">
        <v>451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9" t="s">
        <v>573</v>
      </c>
      <c r="D72" s="349"/>
      <c r="E72" s="349"/>
      <c r="F72" s="34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F22 I22:N22 F52 F62 G24:N24 G70:N70 E32:N33 E69:N69 F25:N25 F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537</v>
      </c>
    </row>
    <row r="3" spans="2:56" ht="15" customHeight="1">
      <c r="B3" s="170"/>
    </row>
    <row r="4" spans="2:56">
      <c r="B4" s="129"/>
      <c r="C4" s="56" t="s">
        <v>443</v>
      </c>
      <c r="D4" s="57"/>
      <c r="E4" s="327" t="str">
        <f>Netzbetreiber!$D$9</f>
        <v>Stadtwerke Neuffen AG</v>
      </c>
      <c r="F4" s="129"/>
      <c r="M4" s="129"/>
      <c r="N4" s="129"/>
      <c r="O4" s="129"/>
    </row>
    <row r="5" spans="2:56">
      <c r="B5" s="129"/>
      <c r="C5" s="56" t="s">
        <v>442</v>
      </c>
      <c r="D5" s="57"/>
      <c r="E5" s="58" t="str">
        <f>Netzbetreiber!$D$28</f>
        <v>Neuffen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484</v>
      </c>
      <c r="D6" s="57"/>
      <c r="E6" s="326" t="str">
        <f>Netzbetreiber!$D$11</f>
        <v>9870042700004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494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516</v>
      </c>
      <c r="D9" s="129"/>
      <c r="E9" s="129"/>
      <c r="F9" s="153">
        <f>'SLP-Verfahren'!D46</f>
        <v>1</v>
      </c>
      <c r="H9" s="171" t="s">
        <v>594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578</v>
      </c>
      <c r="D10" s="129"/>
      <c r="E10" s="129"/>
      <c r="F10" s="49">
        <v>2</v>
      </c>
      <c r="G10" s="57"/>
      <c r="H10" s="171" t="s">
        <v>595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596</v>
      </c>
      <c r="D11" s="129"/>
      <c r="E11" s="129"/>
      <c r="F11" s="330">
        <f>INDEX('SLP-Verfahren'!D48:D62,'SLP-Temp-Gebiet #02'!F10)</f>
        <v>0</v>
      </c>
      <c r="G11" s="330"/>
      <c r="H11" s="286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7" t="s">
        <v>577</v>
      </c>
      <c r="D13" s="347"/>
      <c r="E13" s="347"/>
      <c r="F13" s="181" t="s">
        <v>541</v>
      </c>
      <c r="G13" s="129" t="s">
        <v>539</v>
      </c>
      <c r="H13" s="261" t="s">
        <v>556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8" t="s">
        <v>446</v>
      </c>
      <c r="D14" s="348"/>
      <c r="E14" s="89" t="s">
        <v>447</v>
      </c>
      <c r="F14" s="262" t="s">
        <v>84</v>
      </c>
      <c r="G14" s="263" t="s">
        <v>565</v>
      </c>
      <c r="H14" s="51">
        <v>0</v>
      </c>
      <c r="I14" s="57"/>
      <c r="J14" s="129"/>
      <c r="K14" s="129"/>
      <c r="L14" s="129"/>
      <c r="M14" s="129"/>
      <c r="N14" s="129"/>
      <c r="O14" s="329" t="s">
        <v>644</v>
      </c>
      <c r="R14" s="207" t="s">
        <v>557</v>
      </c>
      <c r="S14" s="207" t="s">
        <v>558</v>
      </c>
      <c r="T14" s="207" t="s">
        <v>559</v>
      </c>
      <c r="U14" s="207" t="s">
        <v>560</v>
      </c>
      <c r="V14" s="207" t="s">
        <v>540</v>
      </c>
      <c r="W14" s="207" t="s">
        <v>561</v>
      </c>
      <c r="X14" s="207" t="s">
        <v>562</v>
      </c>
      <c r="Y14" s="207" t="s">
        <v>563</v>
      </c>
      <c r="Z14" s="207" t="s">
        <v>564</v>
      </c>
      <c r="AA14" s="207" t="s">
        <v>565</v>
      </c>
      <c r="AB14" s="207" t="s">
        <v>566</v>
      </c>
      <c r="AC14" s="207" t="s">
        <v>567</v>
      </c>
    </row>
    <row r="15" spans="2:56" ht="19.5" customHeight="1">
      <c r="B15" s="129"/>
      <c r="C15" s="348" t="s">
        <v>386</v>
      </c>
      <c r="D15" s="348"/>
      <c r="E15" s="89" t="s">
        <v>447</v>
      </c>
      <c r="F15" s="262" t="s">
        <v>70</v>
      </c>
      <c r="G15" s="263" t="s">
        <v>559</v>
      </c>
      <c r="H15" s="51">
        <v>0</v>
      </c>
      <c r="I15" s="57"/>
      <c r="J15" s="129"/>
      <c r="K15" s="129"/>
      <c r="L15" s="129"/>
      <c r="M15" s="129"/>
      <c r="N15" s="129"/>
      <c r="O15" s="160" t="s">
        <v>521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490</v>
      </c>
      <c r="AI15" s="260" t="s">
        <v>542</v>
      </c>
      <c r="AJ15" s="260" t="s">
        <v>543</v>
      </c>
      <c r="AK15" s="260" t="s">
        <v>544</v>
      </c>
      <c r="AL15" s="260" t="s">
        <v>545</v>
      </c>
      <c r="AM15" s="260" t="s">
        <v>546</v>
      </c>
      <c r="AN15" s="260" t="s">
        <v>547</v>
      </c>
      <c r="AO15" s="260" t="s">
        <v>548</v>
      </c>
      <c r="AP15" s="260" t="s">
        <v>549</v>
      </c>
      <c r="AQ15" s="260" t="s">
        <v>550</v>
      </c>
      <c r="AR15" s="260" t="s">
        <v>551</v>
      </c>
      <c r="AS15" s="260" t="s">
        <v>552</v>
      </c>
      <c r="AT15" s="260" t="s">
        <v>553</v>
      </c>
      <c r="AU15" s="260" t="s">
        <v>554</v>
      </c>
      <c r="AV15" s="260" t="s">
        <v>555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87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511</v>
      </c>
      <c r="C17" s="175"/>
      <c r="D17" s="28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517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512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519</v>
      </c>
      <c r="D21" s="152" t="s">
        <v>510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530</v>
      </c>
      <c r="D22" s="184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514</v>
      </c>
      <c r="D24" s="186"/>
      <c r="E24" s="155" t="s">
        <v>574</v>
      </c>
      <c r="F24" s="155" t="s">
        <v>575</v>
      </c>
      <c r="G24" s="155"/>
      <c r="H24" s="155"/>
      <c r="I24" s="155"/>
      <c r="J24" s="155"/>
      <c r="K24" s="155"/>
      <c r="L24" s="155"/>
      <c r="M24" s="155"/>
      <c r="N24" s="155"/>
      <c r="O24" s="183" t="s">
        <v>515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513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520</v>
      </c>
      <c r="D31" s="184" t="s">
        <v>253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526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449</v>
      </c>
      <c r="D34" s="152" t="s">
        <v>448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598</v>
      </c>
      <c r="D35" s="152" t="s">
        <v>599</v>
      </c>
      <c r="E35" s="155" t="s">
        <v>597</v>
      </c>
      <c r="F35" s="155" t="s">
        <v>597</v>
      </c>
      <c r="G35" s="155" t="s">
        <v>597</v>
      </c>
      <c r="H35" s="155" t="s">
        <v>597</v>
      </c>
      <c r="I35" s="155" t="s">
        <v>597</v>
      </c>
      <c r="J35" s="155" t="s">
        <v>597</v>
      </c>
      <c r="K35" s="155" t="s">
        <v>597</v>
      </c>
      <c r="L35" s="155" t="s">
        <v>597</v>
      </c>
      <c r="M35" s="155" t="s">
        <v>597</v>
      </c>
      <c r="N35" s="155" t="s">
        <v>597</v>
      </c>
      <c r="O35" s="183" t="s">
        <v>141</v>
      </c>
      <c r="Q35" s="209"/>
      <c r="R35" s="67" t="s">
        <v>597</v>
      </c>
      <c r="S35" s="67" t="s">
        <v>600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441</v>
      </c>
      <c r="D36" s="118" t="s">
        <v>531</v>
      </c>
      <c r="E36" s="161" t="s">
        <v>450</v>
      </c>
      <c r="F36" s="161" t="s">
        <v>450</v>
      </c>
      <c r="G36" s="161" t="s">
        <v>451</v>
      </c>
      <c r="H36" s="161" t="s">
        <v>451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524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525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518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522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523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529</v>
      </c>
      <c r="D46" s="199" t="s">
        <v>527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527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572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536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512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519</v>
      </c>
      <c r="D55" s="152" t="s">
        <v>510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530</v>
      </c>
      <c r="D56" s="184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514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515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513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520</v>
      </c>
      <c r="D65" s="184" t="s">
        <v>253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3"/>
    </row>
    <row r="66" spans="2:15">
      <c r="B66" s="181"/>
      <c r="C66" s="182" t="s">
        <v>526</v>
      </c>
      <c r="D66" s="184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449</v>
      </c>
      <c r="D68" s="152" t="s">
        <v>448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598</v>
      </c>
      <c r="D69" s="152" t="s">
        <v>599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441</v>
      </c>
      <c r="D70" s="118" t="s">
        <v>531</v>
      </c>
      <c r="E70" s="162" t="s">
        <v>451</v>
      </c>
      <c r="F70" s="162" t="s">
        <v>451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9" t="s">
        <v>573</v>
      </c>
      <c r="D72" s="349"/>
      <c r="E72" s="349"/>
      <c r="F72" s="34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Normal="100" workbookViewId="0">
      <selection activeCell="H35" sqref="H3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Stadtwerke Neuffen AG</v>
      </c>
      <c r="E5" s="129"/>
      <c r="J5" s="88" t="s">
        <v>494</v>
      </c>
      <c r="K5" s="130" t="s">
        <v>496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Neuffen</v>
      </c>
      <c r="E6" s="129"/>
      <c r="F6" s="129"/>
      <c r="K6" s="130" t="s">
        <v>503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484</v>
      </c>
      <c r="D7" s="54" t="str">
        <f>Netzbetreiber!$D$11</f>
        <v>9870042700004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42736</v>
      </c>
      <c r="E8" s="129"/>
      <c r="F8" s="129"/>
      <c r="H8" s="127" t="s">
        <v>492</v>
      </c>
      <c r="J8" s="131">
        <f>COUNTA(D12:D100)</f>
        <v>24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491</v>
      </c>
      <c r="D10" s="133" t="s">
        <v>146</v>
      </c>
      <c r="E10" s="272" t="s">
        <v>505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628</v>
      </c>
      <c r="M10" s="149" t="s">
        <v>637</v>
      </c>
      <c r="N10" s="150" t="s">
        <v>638</v>
      </c>
      <c r="O10" s="150" t="s">
        <v>639</v>
      </c>
      <c r="P10" s="151" t="s">
        <v>640</v>
      </c>
      <c r="Q10" s="145" t="s">
        <v>629</v>
      </c>
      <c r="R10" s="135" t="s">
        <v>630</v>
      </c>
      <c r="S10" s="136" t="s">
        <v>631</v>
      </c>
      <c r="T10" s="136" t="s">
        <v>632</v>
      </c>
      <c r="U10" s="136" t="s">
        <v>633</v>
      </c>
      <c r="V10" s="136" t="s">
        <v>634</v>
      </c>
      <c r="W10" s="136" t="s">
        <v>635</v>
      </c>
      <c r="X10" s="137" t="s">
        <v>636</v>
      </c>
      <c r="Y10" s="291" t="s">
        <v>641</v>
      </c>
    </row>
    <row r="11" spans="2:26" ht="15.75" thickBot="1">
      <c r="B11" s="138" t="s">
        <v>493</v>
      </c>
      <c r="C11" s="139" t="s">
        <v>504</v>
      </c>
      <c r="D11" s="290" t="s">
        <v>246</v>
      </c>
      <c r="E11" s="163" t="s">
        <v>654</v>
      </c>
      <c r="F11" s="292" t="str">
        <f>VLOOKUP($E11,'BDEW-Standard'!$B$3:$M$158,F$9,0)</f>
        <v>BA4</v>
      </c>
      <c r="H11" s="166">
        <f>ROUND(VLOOKUP($E11,'BDEW-Standard'!$B$3:$M$158,H$9,0),7)</f>
        <v>0.93158890000000005</v>
      </c>
      <c r="I11" s="166">
        <f>ROUND(VLOOKUP($E11,'BDEW-Standard'!$B$3:$M$158,I$9,0),7)</f>
        <v>-33.35</v>
      </c>
      <c r="J11" s="166">
        <f>ROUND(VLOOKUP($E11,'BDEW-Standard'!$B$3:$M$158,J$9,0),7)</f>
        <v>5.7212303000000002</v>
      </c>
      <c r="K11" s="166">
        <f>ROUND(VLOOKUP($E11,'BDEW-Standard'!$B$3:$M$158,K$9,0),7)</f>
        <v>0.66564939999999995</v>
      </c>
      <c r="L11" s="332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3">
        <f>($H11/(1+($I11/($Q$9-$L11))^$J11)+$K11)+MAX($M11*$Q$9+$N11,$O11*$Q$9+$P11)</f>
        <v>1.0766391850538448</v>
      </c>
      <c r="R11" s="167">
        <f>ROUND(VLOOKUP(MID($E11,4,3),'Wochentag F(WT)'!$B$7:$J$22,R$9,0),4)</f>
        <v>1.0848</v>
      </c>
      <c r="S11" s="167">
        <f>ROUND(VLOOKUP(MID($E11,4,3),'Wochentag F(WT)'!$B$7:$J$22,S$9,0),4)</f>
        <v>1.1211</v>
      </c>
      <c r="T11" s="167">
        <f>ROUND(VLOOKUP(MID($E11,4,3),'Wochentag F(WT)'!$B$7:$J$22,T$9,0),4)</f>
        <v>1.0769</v>
      </c>
      <c r="U11" s="167">
        <f>ROUND(VLOOKUP(MID($E11,4,3),'Wochentag F(WT)'!$B$7:$J$22,U$9,0),4)</f>
        <v>1.1353</v>
      </c>
      <c r="V11" s="167">
        <f>ROUND(VLOOKUP(MID($E11,4,3),'Wochentag F(WT)'!$B$7:$J$22,V$9,0),4)</f>
        <v>1.1402000000000001</v>
      </c>
      <c r="W11" s="167">
        <f>ROUND(VLOOKUP(MID($E11,4,3),'Wochentag F(WT)'!$B$7:$J$22,W$9,0),4)</f>
        <v>0.48520000000000002</v>
      </c>
      <c r="X11" s="168">
        <f>7-SUM(R11:W11)</f>
        <v>0.95650000000000013</v>
      </c>
      <c r="Y11" s="288">
        <v>365.12299999999999</v>
      </c>
    </row>
    <row r="12" spans="2:26">
      <c r="B12" s="140">
        <v>1</v>
      </c>
      <c r="C12" s="141" t="str">
        <f t="shared" ref="C12:C41" si="0">$D$6</f>
        <v>Neuffen</v>
      </c>
      <c r="D12" s="62" t="s">
        <v>246</v>
      </c>
      <c r="E12" s="164" t="s">
        <v>654</v>
      </c>
      <c r="F12" s="293" t="str">
        <f>VLOOKUP($E12,'BDEW-Standard'!$B$3:$M$158,F$9,0)</f>
        <v>BA4</v>
      </c>
      <c r="H12" s="273">
        <f>ROUND(VLOOKUP($E12,'BDEW-Standard'!$B$3:$M$158,H$9,0),7)</f>
        <v>0.93158890000000005</v>
      </c>
      <c r="I12" s="273">
        <f>ROUND(VLOOKUP($E12,'BDEW-Standard'!$B$3:$M$158,I$9,0),7)</f>
        <v>-33.35</v>
      </c>
      <c r="J12" s="273">
        <f>ROUND(VLOOKUP($E12,'BDEW-Standard'!$B$3:$M$158,J$9,0),7)</f>
        <v>5.7212303000000002</v>
      </c>
      <c r="K12" s="273">
        <f>ROUND(VLOOKUP($E12,'BDEW-Standard'!$B$3:$M$158,K$9,0),7)</f>
        <v>0.66564939999999995</v>
      </c>
      <c r="L12" s="334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5">
        <f t="shared" ref="Q12:Q35" si="1">($H12/(1+($I12/($Q$9-$L12))^$J12)+$K12)+MAX($M12*$Q$9+$N12,$O12*$Q$9+$P12)</f>
        <v>1.0766391850538448</v>
      </c>
      <c r="R12" s="274">
        <f>ROUND(VLOOKUP(MID($E12,4,3),'Wochentag F(WT)'!$B$7:$J$22,R$9,0),4)</f>
        <v>1.0848</v>
      </c>
      <c r="S12" s="274">
        <f>ROUND(VLOOKUP(MID($E12,4,3),'Wochentag F(WT)'!$B$7:$J$22,S$9,0),4)</f>
        <v>1.1211</v>
      </c>
      <c r="T12" s="274">
        <f>ROUND(VLOOKUP(MID($E12,4,3),'Wochentag F(WT)'!$B$7:$J$22,T$9,0),4)</f>
        <v>1.0769</v>
      </c>
      <c r="U12" s="274">
        <f>ROUND(VLOOKUP(MID($E12,4,3),'Wochentag F(WT)'!$B$7:$J$22,U$9,0),4)</f>
        <v>1.1353</v>
      </c>
      <c r="V12" s="274">
        <f>ROUND(VLOOKUP(MID($E12,4,3),'Wochentag F(WT)'!$B$7:$J$22,V$9,0),4)</f>
        <v>1.1402000000000001</v>
      </c>
      <c r="W12" s="274">
        <f>ROUND(VLOOKUP(MID($E12,4,3),'Wochentag F(WT)'!$B$7:$J$22,W$9,0),4)</f>
        <v>0.48520000000000002</v>
      </c>
      <c r="X12" s="275">
        <f>7-SUM(R12:W12)</f>
        <v>0.95650000000000013</v>
      </c>
      <c r="Y12" s="289"/>
      <c r="Z12" s="210"/>
    </row>
    <row r="13" spans="2:26" s="142" customFormat="1">
      <c r="B13" s="143">
        <v>2</v>
      </c>
      <c r="C13" s="144" t="str">
        <f t="shared" si="0"/>
        <v>Neuffen</v>
      </c>
      <c r="D13" s="62" t="s">
        <v>246</v>
      </c>
      <c r="E13" s="344" t="s">
        <v>675</v>
      </c>
      <c r="F13" s="293" t="str">
        <f>VLOOKUP($E13,'BDEW-Standard'!$B$3:$M$158,F$9,0)</f>
        <v>BH3</v>
      </c>
      <c r="H13" s="273">
        <f>ROUND(VLOOKUP($E13,'BDEW-Standard'!$B$3:$M$158,H$9,0),7)</f>
        <v>2.0102471999999998</v>
      </c>
      <c r="I13" s="273">
        <f>ROUND(VLOOKUP($E13,'BDEW-Standard'!$B$3:$M$158,I$9,0),7)</f>
        <v>-35.253212400000002</v>
      </c>
      <c r="J13" s="273">
        <f>ROUND(VLOOKUP($E13,'BDEW-Standard'!$B$3:$M$158,J$9,0),7)</f>
        <v>6.1544406</v>
      </c>
      <c r="K13" s="273">
        <f>ROUND(VLOOKUP($E13,'BDEW-Standard'!$B$3:$M$158,K$9,0),7)</f>
        <v>0.32947409999999999</v>
      </c>
      <c r="L13" s="334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5">
        <f t="shared" si="1"/>
        <v>1.0436896084076008</v>
      </c>
      <c r="R13" s="274">
        <f>ROUND(VLOOKUP(MID($E13,4,3),'Wochentag F(WT)'!$B$7:$J$22,R$9,0),4)</f>
        <v>0.97670000000000001</v>
      </c>
      <c r="S13" s="274">
        <f>ROUND(VLOOKUP(MID($E13,4,3),'Wochentag F(WT)'!$B$7:$J$22,S$9,0),4)</f>
        <v>1.0388999999999999</v>
      </c>
      <c r="T13" s="274">
        <f>ROUND(VLOOKUP(MID($E13,4,3),'Wochentag F(WT)'!$B$7:$J$22,T$9,0),4)</f>
        <v>1.0027999999999999</v>
      </c>
      <c r="U13" s="274">
        <f>ROUND(VLOOKUP(MID($E13,4,3),'Wochentag F(WT)'!$B$7:$J$22,U$9,0),4)</f>
        <v>1.0162</v>
      </c>
      <c r="V13" s="274">
        <f>ROUND(VLOOKUP(MID($E13,4,3),'Wochentag F(WT)'!$B$7:$J$22,V$9,0),4)</f>
        <v>1.0024</v>
      </c>
      <c r="W13" s="274">
        <f>ROUND(VLOOKUP(MID($E13,4,3),'Wochentag F(WT)'!$B$7:$J$22,W$9,0),4)</f>
        <v>1.0043</v>
      </c>
      <c r="X13" s="275">
        <f t="shared" ref="X13:X25" si="2">7-SUM(R13:W13)</f>
        <v>0.95870000000000122</v>
      </c>
      <c r="Y13" s="289"/>
      <c r="Z13" s="210"/>
    </row>
    <row r="14" spans="2:26" s="142" customFormat="1">
      <c r="B14" s="143">
        <v>3</v>
      </c>
      <c r="C14" s="144" t="str">
        <f t="shared" si="0"/>
        <v>Neuffen</v>
      </c>
      <c r="D14" s="62" t="s">
        <v>246</v>
      </c>
      <c r="E14" s="344" t="s">
        <v>655</v>
      </c>
      <c r="F14" s="293" t="str">
        <f>VLOOKUP($E14,'BDEW-Standard'!$B$3:$M$158,F$9,0)</f>
        <v>BH4</v>
      </c>
      <c r="H14" s="273">
        <f>ROUND(VLOOKUP($E14,'BDEW-Standard'!$B$3:$M$158,H$9,0),7)</f>
        <v>2.4595180999999999</v>
      </c>
      <c r="I14" s="273">
        <f>ROUND(VLOOKUP($E14,'BDEW-Standard'!$B$3:$M$158,I$9,0),7)</f>
        <v>-35.253212400000002</v>
      </c>
      <c r="J14" s="273">
        <f>ROUND(VLOOKUP($E14,'BDEW-Standard'!$B$3:$M$158,J$9,0),7)</f>
        <v>6.0587001000000003</v>
      </c>
      <c r="K14" s="273">
        <f>ROUND(VLOOKUP($E14,'BDEW-Standard'!$B$3:$M$158,K$9,0),7)</f>
        <v>0.16473699999999999</v>
      </c>
      <c r="L14" s="334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5">
        <f t="shared" si="1"/>
        <v>1.043802057143173</v>
      </c>
      <c r="R14" s="274">
        <f>ROUND(VLOOKUP(MID($E14,4,3),'Wochentag F(WT)'!$B$7:$J$22,R$9,0),4)</f>
        <v>0.97670000000000001</v>
      </c>
      <c r="S14" s="274">
        <f>ROUND(VLOOKUP(MID($E14,4,3),'Wochentag F(WT)'!$B$7:$J$22,S$9,0),4)</f>
        <v>1.0388999999999999</v>
      </c>
      <c r="T14" s="274">
        <f>ROUND(VLOOKUP(MID($E14,4,3),'Wochentag F(WT)'!$B$7:$J$22,T$9,0),4)</f>
        <v>1.0027999999999999</v>
      </c>
      <c r="U14" s="274">
        <f>ROUND(VLOOKUP(MID($E14,4,3),'Wochentag F(WT)'!$B$7:$J$22,U$9,0),4)</f>
        <v>1.0162</v>
      </c>
      <c r="V14" s="274">
        <f>ROUND(VLOOKUP(MID($E14,4,3),'Wochentag F(WT)'!$B$7:$J$22,V$9,0),4)</f>
        <v>1.0024</v>
      </c>
      <c r="W14" s="274">
        <f>ROUND(VLOOKUP(MID($E14,4,3),'Wochentag F(WT)'!$B$7:$J$22,W$9,0),4)</f>
        <v>1.0043</v>
      </c>
      <c r="X14" s="275">
        <f t="shared" si="2"/>
        <v>0.95870000000000122</v>
      </c>
      <c r="Y14" s="289"/>
      <c r="Z14" s="210"/>
    </row>
    <row r="15" spans="2:26" s="142" customFormat="1">
      <c r="B15" s="143">
        <v>4</v>
      </c>
      <c r="C15" s="144" t="str">
        <f t="shared" si="0"/>
        <v>Neuffen</v>
      </c>
      <c r="D15" s="62" t="s">
        <v>246</v>
      </c>
      <c r="E15" s="344" t="s">
        <v>676</v>
      </c>
      <c r="F15" s="293" t="str">
        <f>VLOOKUP($E15,'BDEW-Standard'!$B$3:$M$158,F$9,0)</f>
        <v>KO3</v>
      </c>
      <c r="H15" s="273">
        <f>ROUND(VLOOKUP($E15,'BDEW-Standard'!$B$3:$M$158,H$9,0),7)</f>
        <v>2.7172288</v>
      </c>
      <c r="I15" s="273">
        <f>ROUND(VLOOKUP($E15,'BDEW-Standard'!$B$3:$M$158,I$9,0),7)</f>
        <v>-35.141256300000002</v>
      </c>
      <c r="J15" s="273">
        <f>ROUND(VLOOKUP($E15,'BDEW-Standard'!$B$3:$M$158,J$9,0),7)</f>
        <v>7.1303394999999998</v>
      </c>
      <c r="K15" s="273">
        <f>ROUND(VLOOKUP($E15,'BDEW-Standard'!$B$3:$M$158,K$9,0),7)</f>
        <v>0.14184720000000001</v>
      </c>
      <c r="L15" s="334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5">
        <f t="shared" si="1"/>
        <v>1.0630299199876638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89"/>
      <c r="Z15" s="210"/>
    </row>
    <row r="16" spans="2:26" s="142" customFormat="1">
      <c r="B16" s="143">
        <v>5</v>
      </c>
      <c r="C16" s="144" t="str">
        <f t="shared" si="0"/>
        <v>Neuffen</v>
      </c>
      <c r="D16" s="62" t="s">
        <v>246</v>
      </c>
      <c r="E16" s="344" t="s">
        <v>656</v>
      </c>
      <c r="F16" s="293" t="str">
        <f>VLOOKUP($E16,'BDEW-Standard'!$B$3:$M$158,F$9,0)</f>
        <v>KO4</v>
      </c>
      <c r="H16" s="273">
        <f>ROUND(VLOOKUP($E16,'BDEW-Standard'!$B$3:$M$158,H$9,0),7)</f>
        <v>3.4428942999999999</v>
      </c>
      <c r="I16" s="273">
        <f>ROUND(VLOOKUP($E16,'BDEW-Standard'!$B$3:$M$158,I$9,0),7)</f>
        <v>-36.659050399999998</v>
      </c>
      <c r="J16" s="273">
        <f>ROUND(VLOOKUP($E16,'BDEW-Standard'!$B$3:$M$158,J$9,0),7)</f>
        <v>7.6083226000000002</v>
      </c>
      <c r="K16" s="273">
        <f>ROUND(VLOOKUP($E16,'BDEW-Standard'!$B$3:$M$158,K$9,0),7)</f>
        <v>7.4685000000000001E-2</v>
      </c>
      <c r="L16" s="334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5">
        <f t="shared" si="1"/>
        <v>0.97768382110526542</v>
      </c>
      <c r="R16" s="274">
        <f>ROUND(VLOOKUP(MID($E16,4,3),'Wochentag F(WT)'!$B$7:$J$22,R$9,0),4)</f>
        <v>1.0354000000000001</v>
      </c>
      <c r="S16" s="274">
        <f>ROUND(VLOOKUP(MID($E16,4,3),'Wochentag F(WT)'!$B$7:$J$22,S$9,0),4)</f>
        <v>1.0523</v>
      </c>
      <c r="T16" s="274">
        <f>ROUND(VLOOKUP(MID($E16,4,3),'Wochentag F(WT)'!$B$7:$J$22,T$9,0),4)</f>
        <v>1.0448999999999999</v>
      </c>
      <c r="U16" s="274">
        <f>ROUND(VLOOKUP(MID($E16,4,3),'Wochentag F(WT)'!$B$7:$J$22,U$9,0),4)</f>
        <v>1.0494000000000001</v>
      </c>
      <c r="V16" s="274">
        <f>ROUND(VLOOKUP(MID($E16,4,3),'Wochentag F(WT)'!$B$7:$J$22,V$9,0),4)</f>
        <v>0.98850000000000005</v>
      </c>
      <c r="W16" s="274">
        <f>ROUND(VLOOKUP(MID($E16,4,3),'Wochentag F(WT)'!$B$7:$J$22,W$9,0),4)</f>
        <v>0.88600000000000001</v>
      </c>
      <c r="X16" s="275">
        <f t="shared" si="2"/>
        <v>0.94349999999999934</v>
      </c>
      <c r="Y16" s="289"/>
      <c r="Z16" s="210"/>
    </row>
    <row r="17" spans="2:26" s="142" customFormat="1">
      <c r="B17" s="143">
        <v>6</v>
      </c>
      <c r="C17" s="144" t="str">
        <f t="shared" si="0"/>
        <v>Neuffen</v>
      </c>
      <c r="D17" s="62" t="s">
        <v>246</v>
      </c>
      <c r="E17" s="344" t="s">
        <v>37</v>
      </c>
      <c r="F17" s="293" t="str">
        <f>VLOOKUP($E17,'BDEW-Standard'!$B$3:$M$158,F$9,0)</f>
        <v>W14</v>
      </c>
      <c r="H17" s="273">
        <f>ROUND(VLOOKUP($E17,'BDEW-Standard'!$B$3:$M$158,H$9,0),7)</f>
        <v>3.1764404000000002</v>
      </c>
      <c r="I17" s="273">
        <f>ROUND(VLOOKUP($E17,'BDEW-Standard'!$B$3:$M$158,I$9,0),7)</f>
        <v>-37.410583199999998</v>
      </c>
      <c r="J17" s="273">
        <f>ROUND(VLOOKUP($E17,'BDEW-Standard'!$B$3:$M$158,J$9,0),7)</f>
        <v>6.1622336000000004</v>
      </c>
      <c r="K17" s="273">
        <f>ROUND(VLOOKUP($E17,'BDEW-Standard'!$B$3:$M$158,K$9,0),7)</f>
        <v>7.5937699999999997E-2</v>
      </c>
      <c r="L17" s="334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5">
        <f t="shared" si="1"/>
        <v>0.95374033288062621</v>
      </c>
      <c r="R17" s="274">
        <f>ROUND(VLOOKUP(MID($E17,4,3),'Wochentag F(WT)'!$B$7:$J$22,R$9,0),4)</f>
        <v>1</v>
      </c>
      <c r="S17" s="274">
        <f>ROUND(VLOOKUP(MID($E17,4,3),'Wochentag F(WT)'!$B$7:$J$22,S$9,0),4)</f>
        <v>1</v>
      </c>
      <c r="T17" s="274">
        <f>ROUND(VLOOKUP(MID($E17,4,3),'Wochentag F(WT)'!$B$7:$J$22,T$9,0),4)</f>
        <v>1</v>
      </c>
      <c r="U17" s="274">
        <f>ROUND(VLOOKUP(MID($E17,4,3),'Wochentag F(WT)'!$B$7:$J$22,U$9,0),4)</f>
        <v>1</v>
      </c>
      <c r="V17" s="274">
        <f>ROUND(VLOOKUP(MID($E17,4,3),'Wochentag F(WT)'!$B$7:$J$22,V$9,0),4)</f>
        <v>1</v>
      </c>
      <c r="W17" s="274">
        <f>ROUND(VLOOKUP(MID($E17,4,3),'Wochentag F(WT)'!$B$7:$J$22,W$9,0),4)</f>
        <v>1</v>
      </c>
      <c r="X17" s="275">
        <f t="shared" si="2"/>
        <v>1</v>
      </c>
      <c r="Y17" s="289"/>
      <c r="Z17" s="210"/>
    </row>
    <row r="18" spans="2:26" s="142" customFormat="1">
      <c r="B18" s="143">
        <v>7</v>
      </c>
      <c r="C18" s="144" t="str">
        <f t="shared" si="0"/>
        <v>Neuffen</v>
      </c>
      <c r="D18" s="62" t="s">
        <v>246</v>
      </c>
      <c r="E18" s="344" t="s">
        <v>33</v>
      </c>
      <c r="F18" s="293" t="str">
        <f>VLOOKUP($E18,'BDEW-Standard'!$B$3:$M$158,F$9,0)</f>
        <v>W13</v>
      </c>
      <c r="H18" s="273">
        <f>ROUND(VLOOKUP($E18,'BDEW-Standard'!$B$3:$M$158,H$9,0),7)</f>
        <v>3.0385547000000002</v>
      </c>
      <c r="I18" s="273">
        <f>ROUND(VLOOKUP($E18,'BDEW-Standard'!$B$3:$M$158,I$9,0),7)</f>
        <v>-37.182990799999999</v>
      </c>
      <c r="J18" s="273">
        <f>ROUND(VLOOKUP($E18,'BDEW-Standard'!$B$3:$M$158,J$9,0),7)</f>
        <v>5.6644869</v>
      </c>
      <c r="K18" s="273">
        <f>ROUND(VLOOKUP($E18,'BDEW-Standard'!$B$3:$M$158,K$9,0),7)</f>
        <v>9.5584500000000003E-2</v>
      </c>
      <c r="L18" s="334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5">
        <f t="shared" si="1"/>
        <v>1.0052189552470467</v>
      </c>
      <c r="R18" s="274">
        <f>ROUND(VLOOKUP(MID($E18,4,3),'Wochentag F(WT)'!$B$7:$J$22,R$9,0),4)</f>
        <v>1</v>
      </c>
      <c r="S18" s="274">
        <f>ROUND(VLOOKUP(MID($E18,4,3),'Wochentag F(WT)'!$B$7:$J$22,S$9,0),4)</f>
        <v>1</v>
      </c>
      <c r="T18" s="274">
        <f>ROUND(VLOOKUP(MID($E18,4,3),'Wochentag F(WT)'!$B$7:$J$22,T$9,0),4)</f>
        <v>1</v>
      </c>
      <c r="U18" s="274">
        <f>ROUND(VLOOKUP(MID($E18,4,3),'Wochentag F(WT)'!$B$7:$J$22,U$9,0),4)</f>
        <v>1</v>
      </c>
      <c r="V18" s="274">
        <f>ROUND(VLOOKUP(MID($E18,4,3),'Wochentag F(WT)'!$B$7:$J$22,V$9,0),4)</f>
        <v>1</v>
      </c>
      <c r="W18" s="274">
        <f>ROUND(VLOOKUP(MID($E18,4,3),'Wochentag F(WT)'!$B$7:$J$22,W$9,0),4)</f>
        <v>1</v>
      </c>
      <c r="X18" s="275">
        <f t="shared" si="2"/>
        <v>1</v>
      </c>
      <c r="Y18" s="289"/>
      <c r="Z18" s="210"/>
    </row>
    <row r="19" spans="2:26" s="142" customFormat="1">
      <c r="B19" s="143">
        <v>8</v>
      </c>
      <c r="C19" s="144" t="str">
        <f t="shared" si="0"/>
        <v>Neuffen</v>
      </c>
      <c r="D19" s="62" t="s">
        <v>246</v>
      </c>
      <c r="E19" s="344" t="s">
        <v>677</v>
      </c>
      <c r="F19" s="293" t="str">
        <f>VLOOKUP($E19,'BDEW-Standard'!$B$3:$M$158,F$9,0)</f>
        <v>D14</v>
      </c>
      <c r="H19" s="273">
        <f>ROUND(VLOOKUP($E19,'BDEW-Standard'!$B$3:$M$158,H$9,0),7)</f>
        <v>3.1850190999999999</v>
      </c>
      <c r="I19" s="273">
        <f>ROUND(VLOOKUP($E19,'BDEW-Standard'!$B$3:$M$158,I$9,0),7)</f>
        <v>-37.412415500000002</v>
      </c>
      <c r="J19" s="273">
        <f>ROUND(VLOOKUP($E19,'BDEW-Standard'!$B$3:$M$158,J$9,0),7)</f>
        <v>6.1723179000000004</v>
      </c>
      <c r="K19" s="273">
        <f>ROUND(VLOOKUP($E19,'BDEW-Standard'!$B$3:$M$158,K$9,0),7)</f>
        <v>7.6109599999999999E-2</v>
      </c>
      <c r="L19" s="334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5">
        <f t="shared" si="1"/>
        <v>0.95508749343949439</v>
      </c>
      <c r="R19" s="274">
        <f>ROUND(VLOOKUP(MID($E19,4,3),'Wochentag F(WT)'!$B$7:$J$22,R$9,0),4)</f>
        <v>1</v>
      </c>
      <c r="S19" s="274">
        <f>ROUND(VLOOKUP(MID($E19,4,3),'Wochentag F(WT)'!$B$7:$J$22,S$9,0),4)</f>
        <v>1</v>
      </c>
      <c r="T19" s="274">
        <f>ROUND(VLOOKUP(MID($E19,4,3),'Wochentag F(WT)'!$B$7:$J$22,T$9,0),4)</f>
        <v>1</v>
      </c>
      <c r="U19" s="274">
        <f>ROUND(VLOOKUP(MID($E19,4,3),'Wochentag F(WT)'!$B$7:$J$22,U$9,0),4)</f>
        <v>1</v>
      </c>
      <c r="V19" s="274">
        <f>ROUND(VLOOKUP(MID($E19,4,3),'Wochentag F(WT)'!$B$7:$J$22,V$9,0),4)</f>
        <v>1</v>
      </c>
      <c r="W19" s="274">
        <f>ROUND(VLOOKUP(MID($E19,4,3),'Wochentag F(WT)'!$B$7:$J$22,W$9,0),4)</f>
        <v>1</v>
      </c>
      <c r="X19" s="275">
        <f t="shared" si="2"/>
        <v>1</v>
      </c>
      <c r="Y19" s="289"/>
      <c r="Z19" s="210"/>
    </row>
    <row r="20" spans="2:26" s="142" customFormat="1">
      <c r="B20" s="143">
        <v>9</v>
      </c>
      <c r="C20" s="144" t="str">
        <f t="shared" si="0"/>
        <v>Neuffen</v>
      </c>
      <c r="D20" s="62" t="s">
        <v>246</v>
      </c>
      <c r="E20" s="344" t="s">
        <v>658</v>
      </c>
      <c r="F20" s="293" t="str">
        <f>VLOOKUP($E20,'BDEW-Standard'!$B$3:$M$158,F$9,0)</f>
        <v>GB4</v>
      </c>
      <c r="H20" s="273">
        <f>ROUND(VLOOKUP($E20,'BDEW-Standard'!$B$3:$M$158,H$9,0),7)</f>
        <v>3.6017736</v>
      </c>
      <c r="I20" s="273">
        <f>ROUND(VLOOKUP($E20,'BDEW-Standard'!$B$3:$M$158,I$9,0),7)</f>
        <v>-37.882536799999997</v>
      </c>
      <c r="J20" s="273">
        <f>ROUND(VLOOKUP($E20,'BDEW-Standard'!$B$3:$M$158,J$9,0),7)</f>
        <v>6.9836070000000001</v>
      </c>
      <c r="K20" s="273">
        <f>ROUND(VLOOKUP($E20,'BDEW-Standard'!$B$3:$M$158,K$9,0),7)</f>
        <v>5.4826199999999999E-2</v>
      </c>
      <c r="L20" s="334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5">
        <f t="shared" si="1"/>
        <v>0.90239375975311864</v>
      </c>
      <c r="R20" s="274">
        <f>ROUND(VLOOKUP(MID($E20,4,3),'Wochentag F(WT)'!$B$7:$J$22,R$9,0),4)</f>
        <v>0.98970000000000002</v>
      </c>
      <c r="S20" s="274">
        <f>ROUND(VLOOKUP(MID($E20,4,3),'Wochentag F(WT)'!$B$7:$J$22,S$9,0),4)</f>
        <v>0.9627</v>
      </c>
      <c r="T20" s="274">
        <f>ROUND(VLOOKUP(MID($E20,4,3),'Wochentag F(WT)'!$B$7:$J$22,T$9,0),4)</f>
        <v>1.0507</v>
      </c>
      <c r="U20" s="274">
        <f>ROUND(VLOOKUP(MID($E20,4,3),'Wochentag F(WT)'!$B$7:$J$22,U$9,0),4)</f>
        <v>1.0551999999999999</v>
      </c>
      <c r="V20" s="274">
        <f>ROUND(VLOOKUP(MID($E20,4,3),'Wochentag F(WT)'!$B$7:$J$22,V$9,0),4)</f>
        <v>1.0297000000000001</v>
      </c>
      <c r="W20" s="274">
        <f>ROUND(VLOOKUP(MID($E20,4,3),'Wochentag F(WT)'!$B$7:$J$22,W$9,0),4)</f>
        <v>0.97670000000000001</v>
      </c>
      <c r="X20" s="275">
        <f t="shared" si="2"/>
        <v>0.9352999999999998</v>
      </c>
      <c r="Y20" s="289"/>
      <c r="Z20" s="210"/>
    </row>
    <row r="21" spans="2:26" s="142" customFormat="1">
      <c r="B21" s="143">
        <v>10</v>
      </c>
      <c r="C21" s="144" t="str">
        <f t="shared" si="0"/>
        <v>Neuffen</v>
      </c>
      <c r="D21" s="62" t="s">
        <v>246</v>
      </c>
      <c r="E21" s="344" t="s">
        <v>678</v>
      </c>
      <c r="F21" s="293" t="str">
        <f>VLOOKUP($E21,'BDEW-Standard'!$B$3:$M$158,F$9,0)</f>
        <v>GA3</v>
      </c>
      <c r="H21" s="273">
        <f>ROUND(VLOOKUP($E21,'BDEW-Standard'!$B$3:$M$158,H$9,0),7)</f>
        <v>2.2850164999999998</v>
      </c>
      <c r="I21" s="273">
        <f>ROUND(VLOOKUP($E21,'BDEW-Standard'!$B$3:$M$158,I$9,0),7)</f>
        <v>-36.287858399999998</v>
      </c>
      <c r="J21" s="273">
        <f>ROUND(VLOOKUP($E21,'BDEW-Standard'!$B$3:$M$158,J$9,0),7)</f>
        <v>6.5885125999999996</v>
      </c>
      <c r="K21" s="273">
        <f>ROUND(VLOOKUP($E21,'BDEW-Standard'!$B$3:$M$158,K$9,0),7)</f>
        <v>0.31505349999999999</v>
      </c>
      <c r="L21" s="334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5">
        <f t="shared" si="1"/>
        <v>1.0096183914256316</v>
      </c>
      <c r="R21" s="274">
        <f>ROUND(VLOOKUP(MID($E21,4,3),'Wochentag F(WT)'!$B$7:$J$22,R$9,0),4)</f>
        <v>0.93220000000000003</v>
      </c>
      <c r="S21" s="274">
        <f>ROUND(VLOOKUP(MID($E21,4,3),'Wochentag F(WT)'!$B$7:$J$22,S$9,0),4)</f>
        <v>0.98939999999999995</v>
      </c>
      <c r="T21" s="274">
        <f>ROUND(VLOOKUP(MID($E21,4,3),'Wochentag F(WT)'!$B$7:$J$22,T$9,0),4)</f>
        <v>1.0033000000000001</v>
      </c>
      <c r="U21" s="274">
        <f>ROUND(VLOOKUP(MID($E21,4,3),'Wochentag F(WT)'!$B$7:$J$22,U$9,0),4)</f>
        <v>1.0108999999999999</v>
      </c>
      <c r="V21" s="274">
        <f>ROUND(VLOOKUP(MID($E21,4,3),'Wochentag F(WT)'!$B$7:$J$22,V$9,0),4)</f>
        <v>1.018</v>
      </c>
      <c r="W21" s="274">
        <f>ROUND(VLOOKUP(MID($E21,4,3),'Wochentag F(WT)'!$B$7:$J$22,W$9,0),4)</f>
        <v>1.0356000000000001</v>
      </c>
      <c r="X21" s="275">
        <f t="shared" si="2"/>
        <v>1.0106000000000002</v>
      </c>
      <c r="Y21" s="289"/>
      <c r="Z21" s="210"/>
    </row>
    <row r="22" spans="2:26" s="142" customFormat="1">
      <c r="B22" s="143">
        <v>11</v>
      </c>
      <c r="C22" s="144" t="str">
        <f t="shared" si="0"/>
        <v>Neuffen</v>
      </c>
      <c r="D22" s="62" t="s">
        <v>246</v>
      </c>
      <c r="E22" s="344" t="s">
        <v>659</v>
      </c>
      <c r="F22" s="293" t="str">
        <f>VLOOKUP($E22,'BDEW-Standard'!$B$3:$M$158,F$9,0)</f>
        <v>GA4</v>
      </c>
      <c r="H22" s="273">
        <f>ROUND(VLOOKUP($E22,'BDEW-Standard'!$B$3:$M$158,H$9,0),7)</f>
        <v>2.8195655999999998</v>
      </c>
      <c r="I22" s="273">
        <f>ROUND(VLOOKUP($E22,'BDEW-Standard'!$B$3:$M$158,I$9,0),7)</f>
        <v>-36</v>
      </c>
      <c r="J22" s="273">
        <f>ROUND(VLOOKUP($E22,'BDEW-Standard'!$B$3:$M$158,J$9,0),7)</f>
        <v>7.7368518000000002</v>
      </c>
      <c r="K22" s="273">
        <f>ROUND(VLOOKUP($E22,'BDEW-Standard'!$B$3:$M$158,K$9,0),7)</f>
        <v>0.157281</v>
      </c>
      <c r="L22" s="334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5">
        <f t="shared" si="1"/>
        <v>0.96576337685759206</v>
      </c>
      <c r="R22" s="274">
        <f>ROUND(VLOOKUP(MID($E22,4,3),'Wochentag F(WT)'!$B$7:$J$22,R$9,0),4)</f>
        <v>0.93220000000000003</v>
      </c>
      <c r="S22" s="274">
        <f>ROUND(VLOOKUP(MID($E22,4,3),'Wochentag F(WT)'!$B$7:$J$22,S$9,0),4)</f>
        <v>0.98939999999999995</v>
      </c>
      <c r="T22" s="274">
        <f>ROUND(VLOOKUP(MID($E22,4,3),'Wochentag F(WT)'!$B$7:$J$22,T$9,0),4)</f>
        <v>1.0033000000000001</v>
      </c>
      <c r="U22" s="274">
        <f>ROUND(VLOOKUP(MID($E22,4,3),'Wochentag F(WT)'!$B$7:$J$22,U$9,0),4)</f>
        <v>1.0108999999999999</v>
      </c>
      <c r="V22" s="274">
        <f>ROUND(VLOOKUP(MID($E22,4,3),'Wochentag F(WT)'!$B$7:$J$22,V$9,0),4)</f>
        <v>1.018</v>
      </c>
      <c r="W22" s="274">
        <f>ROUND(VLOOKUP(MID($E22,4,3),'Wochentag F(WT)'!$B$7:$J$22,W$9,0),4)</f>
        <v>1.0356000000000001</v>
      </c>
      <c r="X22" s="275">
        <f t="shared" si="2"/>
        <v>1.0106000000000002</v>
      </c>
      <c r="Y22" s="289"/>
      <c r="Z22" s="210"/>
    </row>
    <row r="23" spans="2:26" s="142" customFormat="1">
      <c r="B23" s="143">
        <v>12</v>
      </c>
      <c r="C23" s="144" t="str">
        <f t="shared" si="0"/>
        <v>Neuffen</v>
      </c>
      <c r="D23" s="62" t="s">
        <v>246</v>
      </c>
      <c r="E23" s="164" t="s">
        <v>657</v>
      </c>
      <c r="F23" s="293" t="str">
        <f>VLOOKUP($E23,'BDEW-Standard'!$B$3:$M$158,F$9,0)</f>
        <v>HA4</v>
      </c>
      <c r="H23" s="273">
        <f>ROUND(VLOOKUP($E23,'BDEW-Standard'!$B$3:$M$158,H$9,0),7)</f>
        <v>4.0196902000000003</v>
      </c>
      <c r="I23" s="273">
        <f>ROUND(VLOOKUP($E23,'BDEW-Standard'!$B$3:$M$158,I$9,0),7)</f>
        <v>-37.828203700000003</v>
      </c>
      <c r="J23" s="273">
        <f>ROUND(VLOOKUP($E23,'BDEW-Standard'!$B$3:$M$158,J$9,0),7)</f>
        <v>8.1593368999999996</v>
      </c>
      <c r="K23" s="273">
        <f>ROUND(VLOOKUP($E23,'BDEW-Standard'!$B$3:$M$158,K$9,0),7)</f>
        <v>4.72845E-2</v>
      </c>
      <c r="L23" s="334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5">
        <f t="shared" si="1"/>
        <v>0.86486713303260787</v>
      </c>
      <c r="R23" s="274">
        <f>ROUND(VLOOKUP(MID($E23,4,3),'Wochentag F(WT)'!$B$7:$J$22,R$9,0),4)</f>
        <v>1.0358000000000001</v>
      </c>
      <c r="S23" s="274">
        <f>ROUND(VLOOKUP(MID($E23,4,3),'Wochentag F(WT)'!$B$7:$J$22,S$9,0),4)</f>
        <v>1.0232000000000001</v>
      </c>
      <c r="T23" s="274">
        <f>ROUND(VLOOKUP(MID($E23,4,3),'Wochentag F(WT)'!$B$7:$J$22,T$9,0),4)</f>
        <v>1.0251999999999999</v>
      </c>
      <c r="U23" s="274">
        <f>ROUND(VLOOKUP(MID($E23,4,3),'Wochentag F(WT)'!$B$7:$J$22,U$9,0),4)</f>
        <v>1.0295000000000001</v>
      </c>
      <c r="V23" s="274">
        <f>ROUND(VLOOKUP(MID($E23,4,3),'Wochentag F(WT)'!$B$7:$J$22,V$9,0),4)</f>
        <v>1.0253000000000001</v>
      </c>
      <c r="W23" s="274">
        <f>ROUND(VLOOKUP(MID($E23,4,3),'Wochentag F(WT)'!$B$7:$J$22,W$9,0),4)</f>
        <v>0.96750000000000003</v>
      </c>
      <c r="X23" s="275">
        <f t="shared" si="2"/>
        <v>0.89350000000000041</v>
      </c>
      <c r="Y23" s="289"/>
      <c r="Z23" s="210"/>
    </row>
    <row r="24" spans="2:26" s="142" customFormat="1">
      <c r="B24" s="143">
        <v>13</v>
      </c>
      <c r="C24" s="144" t="str">
        <f t="shared" si="0"/>
        <v>Neuffen</v>
      </c>
      <c r="D24" s="62" t="s">
        <v>246</v>
      </c>
      <c r="E24" s="164" t="s">
        <v>679</v>
      </c>
      <c r="F24" s="293" t="str">
        <f>VLOOKUP($E24,'BDEW-Standard'!$B$3:$M$158,F$9,0)</f>
        <v>MF3</v>
      </c>
      <c r="H24" s="273">
        <f>ROUND(VLOOKUP($E24,'BDEW-Standard'!$B$3:$M$158,H$9,0),7)</f>
        <v>2.3877617999999998</v>
      </c>
      <c r="I24" s="273">
        <f>ROUND(VLOOKUP($E24,'BDEW-Standard'!$B$3:$M$158,I$9,0),7)</f>
        <v>-34.721360500000003</v>
      </c>
      <c r="J24" s="273">
        <f>ROUND(VLOOKUP($E24,'BDEW-Standard'!$B$3:$M$158,J$9,0),7)</f>
        <v>5.8164303999999998</v>
      </c>
      <c r="K24" s="273">
        <f>ROUND(VLOOKUP($E24,'BDEW-Standard'!$B$3:$M$158,K$9,0),7)</f>
        <v>0.12081939999999999</v>
      </c>
      <c r="L24" s="334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5">
        <f t="shared" si="1"/>
        <v>1.0365184142102302</v>
      </c>
      <c r="R24" s="274">
        <f>ROUND(VLOOKUP(MID($E24,4,3),'Wochentag F(WT)'!$B$7:$J$22,R$9,0),4)</f>
        <v>1.0354000000000001</v>
      </c>
      <c r="S24" s="274">
        <f>ROUND(VLOOKUP(MID($E24,4,3),'Wochentag F(WT)'!$B$7:$J$22,S$9,0),4)</f>
        <v>1.0523</v>
      </c>
      <c r="T24" s="274">
        <f>ROUND(VLOOKUP(MID($E24,4,3),'Wochentag F(WT)'!$B$7:$J$22,T$9,0),4)</f>
        <v>1.0448999999999999</v>
      </c>
      <c r="U24" s="274">
        <f>ROUND(VLOOKUP(MID($E24,4,3),'Wochentag F(WT)'!$B$7:$J$22,U$9,0),4)</f>
        <v>1.0494000000000001</v>
      </c>
      <c r="V24" s="274">
        <f>ROUND(VLOOKUP(MID($E24,4,3),'Wochentag F(WT)'!$B$7:$J$22,V$9,0),4)</f>
        <v>0.98850000000000005</v>
      </c>
      <c r="W24" s="274">
        <f>ROUND(VLOOKUP(MID($E24,4,3),'Wochentag F(WT)'!$B$7:$J$22,W$9,0),4)</f>
        <v>0.88600000000000001</v>
      </c>
      <c r="X24" s="275">
        <f t="shared" si="2"/>
        <v>0.94349999999999934</v>
      </c>
      <c r="Y24" s="289"/>
      <c r="Z24" s="210"/>
    </row>
    <row r="25" spans="2:26" s="142" customFormat="1">
      <c r="B25" s="143">
        <v>14</v>
      </c>
      <c r="C25" s="144" t="str">
        <f t="shared" si="0"/>
        <v>Neuffen</v>
      </c>
      <c r="D25" s="62" t="s">
        <v>246</v>
      </c>
      <c r="E25" s="164" t="s">
        <v>661</v>
      </c>
      <c r="F25" s="293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4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5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89"/>
      <c r="Z25" s="210"/>
    </row>
    <row r="26" spans="2:26" s="142" customFormat="1">
      <c r="B26" s="143">
        <v>15</v>
      </c>
      <c r="C26" s="144" t="str">
        <f t="shared" si="0"/>
        <v>Neuffen</v>
      </c>
      <c r="D26" s="62" t="s">
        <v>246</v>
      </c>
      <c r="E26" s="164" t="s">
        <v>680</v>
      </c>
      <c r="F26" s="293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4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5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ref="X26" si="3">7-SUM(R26:W26)</f>
        <v>1</v>
      </c>
      <c r="Y26" s="289"/>
      <c r="Z26" s="210"/>
    </row>
    <row r="27" spans="2:26" s="142" customFormat="1">
      <c r="B27" s="143">
        <v>16</v>
      </c>
      <c r="C27" s="144" t="str">
        <f t="shared" si="0"/>
        <v>Neuffen</v>
      </c>
      <c r="D27" s="62" t="s">
        <v>246</v>
      </c>
      <c r="E27" s="165" t="s">
        <v>41</v>
      </c>
      <c r="F27" s="293" t="str">
        <f>VLOOKUP($E27,'BDEW-Standard'!$B$3:$M$158,F$9,0)</f>
        <v>W23</v>
      </c>
      <c r="H27" s="273">
        <f>ROUND(VLOOKUP($E27,'BDEW-Standard'!$B$3:$M$158,H$9,0),7)</f>
        <v>2.3767684</v>
      </c>
      <c r="I27" s="273">
        <f>ROUND(VLOOKUP($E27,'BDEW-Standard'!$B$3:$M$158,I$9,0),7)</f>
        <v>-34.719233299999999</v>
      </c>
      <c r="J27" s="273">
        <f>ROUND(VLOOKUP($E27,'BDEW-Standard'!$B$3:$M$158,J$9,0),7)</f>
        <v>5.8332161999999999</v>
      </c>
      <c r="K27" s="273">
        <f>ROUND(VLOOKUP($E27,'BDEW-Standard'!$B$3:$M$158,K$9,0),7)</f>
        <v>0.1218182</v>
      </c>
      <c r="L27" s="334">
        <f>ROUND(VLOOKUP($E27,'BDEW-Standard'!$B$3:$M$158,L$9,0),1)</f>
        <v>40</v>
      </c>
      <c r="M27" s="273">
        <f>ROUND(VLOOKUP($E27,'BDEW-Standard'!$B$3:$M$158,M$9,0),7)</f>
        <v>0</v>
      </c>
      <c r="N27" s="273">
        <f>ROUND(VLOOKUP($E27,'BDEW-Standard'!$B$3:$M$158,N$9,0),7)</f>
        <v>0</v>
      </c>
      <c r="O27" s="273">
        <f>ROUND(VLOOKUP($E27,'BDEW-Standard'!$B$3:$M$158,O$9,0),7)</f>
        <v>0</v>
      </c>
      <c r="P27" s="273">
        <f>ROUND(VLOOKUP($E27,'BDEW-Standard'!$B$3:$M$158,P$9,0),7)</f>
        <v>0</v>
      </c>
      <c r="Q27" s="335">
        <f t="shared" si="1"/>
        <v>1.0327323008737617</v>
      </c>
      <c r="R27" s="274">
        <f>ROUND(VLOOKUP(MID($E27,4,3),'Wochentag F(WT)'!$B$7:$J$22,R$9,0),4)</f>
        <v>1</v>
      </c>
      <c r="S27" s="274">
        <f>ROUND(VLOOKUP(MID($E27,4,3),'Wochentag F(WT)'!$B$7:$J$22,S$9,0),4)</f>
        <v>1</v>
      </c>
      <c r="T27" s="274">
        <f>ROUND(VLOOKUP(MID($E27,4,3),'Wochentag F(WT)'!$B$7:$J$22,T$9,0),4)</f>
        <v>1</v>
      </c>
      <c r="U27" s="274">
        <f>ROUND(VLOOKUP(MID($E27,4,3),'Wochentag F(WT)'!$B$7:$J$22,U$9,0),4)</f>
        <v>1</v>
      </c>
      <c r="V27" s="274">
        <f>ROUND(VLOOKUP(MID($E27,4,3),'Wochentag F(WT)'!$B$7:$J$22,V$9,0),4)</f>
        <v>1</v>
      </c>
      <c r="W27" s="274">
        <f>ROUND(VLOOKUP(MID($E27,4,3),'Wochentag F(WT)'!$B$7:$J$22,W$9,0),4)</f>
        <v>1</v>
      </c>
      <c r="X27" s="275">
        <f t="shared" ref="X27:X28" si="4">7-SUM(R27:W27)</f>
        <v>1</v>
      </c>
      <c r="Y27" s="289"/>
    </row>
    <row r="28" spans="2:26" s="142" customFormat="1">
      <c r="B28" s="143">
        <v>17</v>
      </c>
      <c r="C28" s="144" t="str">
        <f t="shared" si="0"/>
        <v>Neuffen</v>
      </c>
      <c r="D28" s="62" t="s">
        <v>246</v>
      </c>
      <c r="E28" s="165" t="s">
        <v>660</v>
      </c>
      <c r="F28" s="293" t="str">
        <f>VLOOKUP($E28,'BDEW-Standard'!$B$3:$M$158,F$9,0)</f>
        <v>MK3</v>
      </c>
      <c r="H28" s="273">
        <f>ROUND(VLOOKUP($E28,'BDEW-Standard'!$B$3:$M$158,H$9,0),7)</f>
        <v>2.7882424000000001</v>
      </c>
      <c r="I28" s="273">
        <f>ROUND(VLOOKUP($E28,'BDEW-Standard'!$B$3:$M$158,I$9,0),7)</f>
        <v>-34.880612999999997</v>
      </c>
      <c r="J28" s="273">
        <f>ROUND(VLOOKUP($E28,'BDEW-Standard'!$B$3:$M$158,J$9,0),7)</f>
        <v>6.5951899000000003</v>
      </c>
      <c r="K28" s="273">
        <f>ROUND(VLOOKUP($E28,'BDEW-Standard'!$B$3:$M$158,K$9,0),7)</f>
        <v>5.4032900000000002E-2</v>
      </c>
      <c r="L28" s="334">
        <f>ROUND(VLOOKUP($E28,'BDEW-Standard'!$B$3:$M$158,L$9,0),1)</f>
        <v>40</v>
      </c>
      <c r="M28" s="273">
        <f>ROUND(VLOOKUP($E28,'BDEW-Standard'!$B$3:$M$158,M$9,0),7)</f>
        <v>0</v>
      </c>
      <c r="N28" s="273">
        <f>ROUND(VLOOKUP($E28,'BDEW-Standard'!$B$3:$M$158,N$9,0),7)</f>
        <v>0</v>
      </c>
      <c r="O28" s="273">
        <f>ROUND(VLOOKUP($E28,'BDEW-Standard'!$B$3:$M$158,O$9,0),7)</f>
        <v>0</v>
      </c>
      <c r="P28" s="273">
        <f>ROUND(VLOOKUP($E28,'BDEW-Standard'!$B$3:$M$158,P$9,0),7)</f>
        <v>0</v>
      </c>
      <c r="Q28" s="335">
        <f t="shared" si="1"/>
        <v>1.0622306107520199</v>
      </c>
      <c r="R28" s="274">
        <f>ROUND(VLOOKUP(MID($E28,4,3),'Wochentag F(WT)'!$B$7:$J$22,R$9,0),4)</f>
        <v>1.0699000000000001</v>
      </c>
      <c r="S28" s="274">
        <f>ROUND(VLOOKUP(MID($E28,4,3),'Wochentag F(WT)'!$B$7:$J$22,S$9,0),4)</f>
        <v>1.0365</v>
      </c>
      <c r="T28" s="274">
        <f>ROUND(VLOOKUP(MID($E28,4,3),'Wochentag F(WT)'!$B$7:$J$22,T$9,0),4)</f>
        <v>0.99329999999999996</v>
      </c>
      <c r="U28" s="274">
        <f>ROUND(VLOOKUP(MID($E28,4,3),'Wochentag F(WT)'!$B$7:$J$22,U$9,0),4)</f>
        <v>0.99480000000000002</v>
      </c>
      <c r="V28" s="274">
        <f>ROUND(VLOOKUP(MID($E28,4,3),'Wochentag F(WT)'!$B$7:$J$22,V$9,0),4)</f>
        <v>1.0659000000000001</v>
      </c>
      <c r="W28" s="274">
        <f>ROUND(VLOOKUP(MID($E28,4,3),'Wochentag F(WT)'!$B$7:$J$22,W$9,0),4)</f>
        <v>0.93620000000000003</v>
      </c>
      <c r="X28" s="275">
        <f t="shared" si="4"/>
        <v>0.90339999999999954</v>
      </c>
      <c r="Y28" s="289"/>
    </row>
    <row r="29" spans="2:26" s="142" customFormat="1">
      <c r="B29" s="143">
        <v>18</v>
      </c>
      <c r="C29" s="144" t="str">
        <f t="shared" si="0"/>
        <v>Neuffen</v>
      </c>
      <c r="D29" s="62" t="s">
        <v>246</v>
      </c>
      <c r="E29" s="165" t="s">
        <v>662</v>
      </c>
      <c r="F29" s="293" t="str">
        <f>VLOOKUP($E29,'BDEW-Standard'!$B$3:$M$158,F$9,0)</f>
        <v>MK4</v>
      </c>
      <c r="H29" s="273">
        <f>ROUND(VLOOKUP($E29,'BDEW-Standard'!$B$3:$M$158,H$9,0),7)</f>
        <v>3.1177248</v>
      </c>
      <c r="I29" s="273">
        <f>ROUND(VLOOKUP($E29,'BDEW-Standard'!$B$3:$M$158,I$9,0),7)</f>
        <v>-35.871506199999999</v>
      </c>
      <c r="J29" s="273">
        <f>ROUND(VLOOKUP($E29,'BDEW-Standard'!$B$3:$M$158,J$9,0),7)</f>
        <v>7.5186828999999999</v>
      </c>
      <c r="K29" s="273">
        <f>ROUND(VLOOKUP($E29,'BDEW-Standard'!$B$3:$M$158,K$9,0),7)</f>
        <v>3.4330100000000002E-2</v>
      </c>
      <c r="L29" s="334">
        <f>ROUND(VLOOKUP($E29,'BDEW-Standard'!$B$3:$M$158,L$9,0),1)</f>
        <v>40</v>
      </c>
      <c r="M29" s="273">
        <f>ROUND(VLOOKUP($E29,'BDEW-Standard'!$B$3:$M$158,M$9,0),7)</f>
        <v>0</v>
      </c>
      <c r="N29" s="273">
        <f>ROUND(VLOOKUP($E29,'BDEW-Standard'!$B$3:$M$158,N$9,0),7)</f>
        <v>0</v>
      </c>
      <c r="O29" s="273">
        <f>ROUND(VLOOKUP($E29,'BDEW-Standard'!$B$3:$M$158,O$9,0),7)</f>
        <v>0</v>
      </c>
      <c r="P29" s="273">
        <f>ROUND(VLOOKUP($E29,'BDEW-Standard'!$B$3:$M$158,P$9,0),7)</f>
        <v>0</v>
      </c>
      <c r="Q29" s="335">
        <f t="shared" si="1"/>
        <v>0.9622064996731321</v>
      </c>
      <c r="R29" s="274">
        <f>ROUND(VLOOKUP(MID($E29,4,3),'Wochentag F(WT)'!$B$7:$J$22,R$9,0),4)</f>
        <v>1.0699000000000001</v>
      </c>
      <c r="S29" s="274">
        <f>ROUND(VLOOKUP(MID($E29,4,3),'Wochentag F(WT)'!$B$7:$J$22,S$9,0),4)</f>
        <v>1.0365</v>
      </c>
      <c r="T29" s="274">
        <f>ROUND(VLOOKUP(MID($E29,4,3),'Wochentag F(WT)'!$B$7:$J$22,T$9,0),4)</f>
        <v>0.99329999999999996</v>
      </c>
      <c r="U29" s="274">
        <f>ROUND(VLOOKUP(MID($E29,4,3),'Wochentag F(WT)'!$B$7:$J$22,U$9,0),4)</f>
        <v>0.99480000000000002</v>
      </c>
      <c r="V29" s="274">
        <f>ROUND(VLOOKUP(MID($E29,4,3),'Wochentag F(WT)'!$B$7:$J$22,V$9,0),4)</f>
        <v>1.0659000000000001</v>
      </c>
      <c r="W29" s="274">
        <f>ROUND(VLOOKUP(MID($E29,4,3),'Wochentag F(WT)'!$B$7:$J$22,W$9,0),4)</f>
        <v>0.93620000000000003</v>
      </c>
      <c r="X29" s="275">
        <f t="shared" ref="X29:X33" si="5">7-SUM(R29:W29)</f>
        <v>0.90339999999999954</v>
      </c>
      <c r="Y29" s="289"/>
    </row>
    <row r="30" spans="2:26" s="142" customFormat="1">
      <c r="B30" s="143">
        <v>19</v>
      </c>
      <c r="C30" s="144" t="str">
        <f t="shared" si="0"/>
        <v>Neuffen</v>
      </c>
      <c r="D30" s="62" t="s">
        <v>246</v>
      </c>
      <c r="E30" s="165" t="s">
        <v>45</v>
      </c>
      <c r="F30" s="293" t="str">
        <f>VLOOKUP($E30,'BDEW-Standard'!$B$3:$M$158,F$9,0)</f>
        <v>W24</v>
      </c>
      <c r="H30" s="273">
        <f>ROUND(VLOOKUP($E30,'BDEW-Standard'!$B$3:$M$158,H$9,0),7)</f>
        <v>2.5078170000000002</v>
      </c>
      <c r="I30" s="273">
        <f>ROUND(VLOOKUP($E30,'BDEW-Standard'!$B$3:$M$158,I$9,0),7)</f>
        <v>-35.036736300000001</v>
      </c>
      <c r="J30" s="273">
        <f>ROUND(VLOOKUP($E30,'BDEW-Standard'!$B$3:$M$158,J$9,0),7)</f>
        <v>6.2430158999999996</v>
      </c>
      <c r="K30" s="273">
        <f>ROUND(VLOOKUP($E30,'BDEW-Standard'!$B$3:$M$158,K$9,0),7)</f>
        <v>0.1025195</v>
      </c>
      <c r="L30" s="334">
        <f>ROUND(VLOOKUP($E30,'BDEW-Standard'!$B$3:$M$158,L$9,0),1)</f>
        <v>40</v>
      </c>
      <c r="M30" s="273">
        <f>ROUND(VLOOKUP($E30,'BDEW-Standard'!$B$3:$M$158,M$9,0),7)</f>
        <v>0</v>
      </c>
      <c r="N30" s="273">
        <f>ROUND(VLOOKUP($E30,'BDEW-Standard'!$B$3:$M$158,N$9,0),7)</f>
        <v>0</v>
      </c>
      <c r="O30" s="273">
        <f>ROUND(VLOOKUP($E30,'BDEW-Standard'!$B$3:$M$158,O$9,0),7)</f>
        <v>0</v>
      </c>
      <c r="P30" s="273">
        <f>ROUND(VLOOKUP($E30,'BDEW-Standard'!$B$3:$M$158,P$9,0),7)</f>
        <v>0</v>
      </c>
      <c r="Q30" s="335">
        <f t="shared" si="1"/>
        <v>1.0107516326442527</v>
      </c>
      <c r="R30" s="274">
        <f>ROUND(VLOOKUP(MID($E30,4,3),'Wochentag F(WT)'!$B$7:$J$22,R$9,0),4)</f>
        <v>1</v>
      </c>
      <c r="S30" s="274">
        <f>ROUND(VLOOKUP(MID($E30,4,3),'Wochentag F(WT)'!$B$7:$J$22,S$9,0),4)</f>
        <v>1</v>
      </c>
      <c r="T30" s="274">
        <f>ROUND(VLOOKUP(MID($E30,4,3),'Wochentag F(WT)'!$B$7:$J$22,T$9,0),4)</f>
        <v>1</v>
      </c>
      <c r="U30" s="274">
        <f>ROUND(VLOOKUP(MID($E30,4,3),'Wochentag F(WT)'!$B$7:$J$22,U$9,0),4)</f>
        <v>1</v>
      </c>
      <c r="V30" s="274">
        <f>ROUND(VLOOKUP(MID($E30,4,3),'Wochentag F(WT)'!$B$7:$J$22,V$9,0),4)</f>
        <v>1</v>
      </c>
      <c r="W30" s="274">
        <f>ROUND(VLOOKUP(MID($E30,4,3),'Wochentag F(WT)'!$B$7:$J$22,W$9,0),4)</f>
        <v>1</v>
      </c>
      <c r="X30" s="275">
        <f t="shared" si="5"/>
        <v>1</v>
      </c>
      <c r="Y30" s="289"/>
    </row>
    <row r="31" spans="2:26" s="142" customFormat="1">
      <c r="B31" s="143">
        <v>20</v>
      </c>
      <c r="C31" s="144" t="str">
        <f t="shared" si="0"/>
        <v>Neuffen</v>
      </c>
      <c r="D31" s="62" t="s">
        <v>246</v>
      </c>
      <c r="E31" s="165" t="s">
        <v>681</v>
      </c>
      <c r="F31" s="293" t="str">
        <f>VLOOKUP($E31,'BDEW-Standard'!$B$3:$M$158,F$9,0)</f>
        <v>D24</v>
      </c>
      <c r="H31" s="273">
        <f>ROUND(VLOOKUP($E31,'BDEW-Standard'!$B$3:$M$158,H$9,0),7)</f>
        <v>2.5187775000000001</v>
      </c>
      <c r="I31" s="273">
        <f>ROUND(VLOOKUP($E31,'BDEW-Standard'!$B$3:$M$158,I$9,0),7)</f>
        <v>-35.033375399999997</v>
      </c>
      <c r="J31" s="273">
        <f>ROUND(VLOOKUP($E31,'BDEW-Standard'!$B$3:$M$158,J$9,0),7)</f>
        <v>6.2240634000000004</v>
      </c>
      <c r="K31" s="273">
        <f>ROUND(VLOOKUP($E31,'BDEW-Standard'!$B$3:$M$158,K$9,0),7)</f>
        <v>0.10107820000000001</v>
      </c>
      <c r="L31" s="334">
        <f>ROUND(VLOOKUP($E31,'BDEW-Standard'!$B$3:$M$158,L$9,0),1)</f>
        <v>40</v>
      </c>
      <c r="M31" s="273">
        <f>ROUND(VLOOKUP($E31,'BDEW-Standard'!$B$3:$M$158,M$9,0),7)</f>
        <v>0</v>
      </c>
      <c r="N31" s="273">
        <f>ROUND(VLOOKUP($E31,'BDEW-Standard'!$B$3:$M$158,N$9,0),7)</f>
        <v>0</v>
      </c>
      <c r="O31" s="273">
        <f>ROUND(VLOOKUP($E31,'BDEW-Standard'!$B$3:$M$158,O$9,0),7)</f>
        <v>0</v>
      </c>
      <c r="P31" s="273">
        <f>ROUND(VLOOKUP($E31,'BDEW-Standard'!$B$3:$M$158,P$9,0),7)</f>
        <v>0</v>
      </c>
      <c r="Q31" s="335">
        <f t="shared" si="1"/>
        <v>1.0146273685996503</v>
      </c>
      <c r="R31" s="274">
        <f>ROUND(VLOOKUP(MID($E31,4,3),'Wochentag F(WT)'!$B$7:$J$22,R$9,0),4)</f>
        <v>1</v>
      </c>
      <c r="S31" s="274">
        <f>ROUND(VLOOKUP(MID($E31,4,3),'Wochentag F(WT)'!$B$7:$J$22,S$9,0),4)</f>
        <v>1</v>
      </c>
      <c r="T31" s="274">
        <f>ROUND(VLOOKUP(MID($E31,4,3),'Wochentag F(WT)'!$B$7:$J$22,T$9,0),4)</f>
        <v>1</v>
      </c>
      <c r="U31" s="274">
        <f>ROUND(VLOOKUP(MID($E31,4,3),'Wochentag F(WT)'!$B$7:$J$22,U$9,0),4)</f>
        <v>1</v>
      </c>
      <c r="V31" s="274">
        <f>ROUND(VLOOKUP(MID($E31,4,3),'Wochentag F(WT)'!$B$7:$J$22,V$9,0),4)</f>
        <v>1</v>
      </c>
      <c r="W31" s="274">
        <f>ROUND(VLOOKUP(MID($E31,4,3),'Wochentag F(WT)'!$B$7:$J$22,W$9,0),4)</f>
        <v>1</v>
      </c>
      <c r="X31" s="275">
        <f t="shared" si="5"/>
        <v>1</v>
      </c>
      <c r="Y31" s="289"/>
    </row>
    <row r="32" spans="2:26" s="142" customFormat="1">
      <c r="B32" s="143">
        <v>21</v>
      </c>
      <c r="C32" s="144" t="str">
        <f t="shared" si="0"/>
        <v>Neuffen</v>
      </c>
      <c r="D32" s="62" t="s">
        <v>246</v>
      </c>
      <c r="E32" s="165" t="s">
        <v>664</v>
      </c>
      <c r="F32" s="293" t="str">
        <f>VLOOKUP($E32,'BDEW-Standard'!$B$3:$M$158,F$9,0)</f>
        <v>PD4</v>
      </c>
      <c r="H32" s="273">
        <f>ROUND(VLOOKUP($E32,'BDEW-Standard'!$B$3:$M$158,H$9,0),7)</f>
        <v>3.85</v>
      </c>
      <c r="I32" s="273">
        <f>ROUND(VLOOKUP($E32,'BDEW-Standard'!$B$3:$M$158,I$9,0),7)</f>
        <v>-37</v>
      </c>
      <c r="J32" s="273">
        <f>ROUND(VLOOKUP($E32,'BDEW-Standard'!$B$3:$M$158,J$9,0),7)</f>
        <v>10.2405021</v>
      </c>
      <c r="K32" s="273">
        <f>ROUND(VLOOKUP($E32,'BDEW-Standard'!$B$3:$M$158,K$9,0),7)</f>
        <v>4.6924300000000002E-2</v>
      </c>
      <c r="L32" s="334">
        <f>ROUND(VLOOKUP($E32,'BDEW-Standard'!$B$3:$M$158,L$9,0),1)</f>
        <v>40</v>
      </c>
      <c r="M32" s="273">
        <f>ROUND(VLOOKUP($E32,'BDEW-Standard'!$B$3:$M$158,M$9,0),7)</f>
        <v>0</v>
      </c>
      <c r="N32" s="273">
        <f>ROUND(VLOOKUP($E32,'BDEW-Standard'!$B$3:$M$158,N$9,0),7)</f>
        <v>0</v>
      </c>
      <c r="O32" s="273">
        <f>ROUND(VLOOKUP($E32,'BDEW-Standard'!$B$3:$M$158,O$9,0),7)</f>
        <v>0</v>
      </c>
      <c r="P32" s="273">
        <f>ROUND(VLOOKUP($E32,'BDEW-Standard'!$B$3:$M$158,P$9,0),7)</f>
        <v>0</v>
      </c>
      <c r="Q32" s="335">
        <f t="shared" si="1"/>
        <v>0.75691065279879233</v>
      </c>
      <c r="R32" s="274">
        <f>ROUND(VLOOKUP(MID($E32,4,3),'Wochentag F(WT)'!$B$7:$J$22,R$9,0),4)</f>
        <v>1.0214000000000001</v>
      </c>
      <c r="S32" s="274">
        <f>ROUND(VLOOKUP(MID($E32,4,3),'Wochentag F(WT)'!$B$7:$J$22,S$9,0),4)</f>
        <v>1.0866</v>
      </c>
      <c r="T32" s="274">
        <f>ROUND(VLOOKUP(MID($E32,4,3),'Wochentag F(WT)'!$B$7:$J$22,T$9,0),4)</f>
        <v>1.0720000000000001</v>
      </c>
      <c r="U32" s="274">
        <f>ROUND(VLOOKUP(MID($E32,4,3),'Wochentag F(WT)'!$B$7:$J$22,U$9,0),4)</f>
        <v>1.0557000000000001</v>
      </c>
      <c r="V32" s="274">
        <f>ROUND(VLOOKUP(MID($E32,4,3),'Wochentag F(WT)'!$B$7:$J$22,V$9,0),4)</f>
        <v>1.0117</v>
      </c>
      <c r="W32" s="274">
        <f>ROUND(VLOOKUP(MID($E32,4,3),'Wochentag F(WT)'!$B$7:$J$22,W$9,0),4)</f>
        <v>0.90010000000000001</v>
      </c>
      <c r="X32" s="275">
        <f t="shared" si="5"/>
        <v>0.85249999999999915</v>
      </c>
      <c r="Y32" s="289"/>
    </row>
    <row r="33" spans="2:25" s="142" customFormat="1">
      <c r="B33" s="143">
        <v>22</v>
      </c>
      <c r="C33" s="144" t="str">
        <f t="shared" si="0"/>
        <v>Neuffen</v>
      </c>
      <c r="D33" s="62" t="s">
        <v>246</v>
      </c>
      <c r="E33" s="165" t="s">
        <v>665</v>
      </c>
      <c r="F33" s="293" t="str">
        <f>VLOOKUP($E33,'BDEW-Standard'!$B$3:$M$158,F$9,0)</f>
        <v>BD4</v>
      </c>
      <c r="H33" s="273">
        <f>ROUND(VLOOKUP($E33,'BDEW-Standard'!$B$3:$M$158,H$9,0),7)</f>
        <v>3.75</v>
      </c>
      <c r="I33" s="273">
        <f>ROUND(VLOOKUP($E33,'BDEW-Standard'!$B$3:$M$158,I$9,0),7)</f>
        <v>-37.5</v>
      </c>
      <c r="J33" s="273">
        <f>ROUND(VLOOKUP($E33,'BDEW-Standard'!$B$3:$M$158,J$9,0),7)</f>
        <v>6.8</v>
      </c>
      <c r="K33" s="273">
        <f>ROUND(VLOOKUP($E33,'BDEW-Standard'!$B$3:$M$158,K$9,0),7)</f>
        <v>6.0911300000000002E-2</v>
      </c>
      <c r="L33" s="334">
        <f>ROUND(VLOOKUP($E33,'BDEW-Standard'!$B$3:$M$158,L$9,0),1)</f>
        <v>40</v>
      </c>
      <c r="M33" s="273">
        <f>ROUND(VLOOKUP($E33,'BDEW-Standard'!$B$3:$M$158,M$9,0),7)</f>
        <v>0</v>
      </c>
      <c r="N33" s="273">
        <f>ROUND(VLOOKUP($E33,'BDEW-Standard'!$B$3:$M$158,N$9,0),7)</f>
        <v>0</v>
      </c>
      <c r="O33" s="273">
        <f>ROUND(VLOOKUP($E33,'BDEW-Standard'!$B$3:$M$158,O$9,0),7)</f>
        <v>0</v>
      </c>
      <c r="P33" s="273">
        <f>ROUND(VLOOKUP($E33,'BDEW-Standard'!$B$3:$M$158,P$9,0),7)</f>
        <v>0</v>
      </c>
      <c r="Q33" s="335">
        <f t="shared" si="1"/>
        <v>1.0126136468627658</v>
      </c>
      <c r="R33" s="274">
        <f>ROUND(VLOOKUP(MID($E33,4,3),'Wochentag F(WT)'!$B$7:$J$22,R$9,0),4)</f>
        <v>1.1052</v>
      </c>
      <c r="S33" s="274">
        <f>ROUND(VLOOKUP(MID($E33,4,3),'Wochentag F(WT)'!$B$7:$J$22,S$9,0),4)</f>
        <v>1.0857000000000001</v>
      </c>
      <c r="T33" s="274">
        <f>ROUND(VLOOKUP(MID($E33,4,3),'Wochentag F(WT)'!$B$7:$J$22,T$9,0),4)</f>
        <v>1.0378000000000001</v>
      </c>
      <c r="U33" s="274">
        <f>ROUND(VLOOKUP(MID($E33,4,3),'Wochentag F(WT)'!$B$7:$J$22,U$9,0),4)</f>
        <v>1.0622</v>
      </c>
      <c r="V33" s="274">
        <f>ROUND(VLOOKUP(MID($E33,4,3),'Wochentag F(WT)'!$B$7:$J$22,V$9,0),4)</f>
        <v>1.0266</v>
      </c>
      <c r="W33" s="274">
        <f>ROUND(VLOOKUP(MID($E33,4,3),'Wochentag F(WT)'!$B$7:$J$22,W$9,0),4)</f>
        <v>0.76290000000000002</v>
      </c>
      <c r="X33" s="275">
        <f t="shared" si="5"/>
        <v>0.91959999999999997</v>
      </c>
      <c r="Y33" s="289"/>
    </row>
    <row r="34" spans="2:25" s="142" customFormat="1">
      <c r="B34" s="143">
        <v>23</v>
      </c>
      <c r="C34" s="144" t="str">
        <f t="shared" si="0"/>
        <v>Neuffen</v>
      </c>
      <c r="D34" s="62" t="s">
        <v>246</v>
      </c>
      <c r="E34" s="165" t="s">
        <v>682</v>
      </c>
      <c r="F34" s="293" t="str">
        <f>VLOOKUP($E34,'BDEW-Standard'!$B$3:$M$158,F$9,0)</f>
        <v>HD4</v>
      </c>
      <c r="H34" s="273">
        <f>ROUND(VLOOKUP($E34,'BDEW-Standard'!$B$3:$M$158,H$9,0),7)</f>
        <v>3.0084346000000002</v>
      </c>
      <c r="I34" s="273">
        <f>ROUND(VLOOKUP($E34,'BDEW-Standard'!$B$3:$M$158,I$9,0),7)</f>
        <v>-36.607845300000001</v>
      </c>
      <c r="J34" s="273">
        <f>ROUND(VLOOKUP($E34,'BDEW-Standard'!$B$3:$M$158,J$9,0),7)</f>
        <v>7.3211870000000001</v>
      </c>
      <c r="K34" s="273">
        <f>ROUND(VLOOKUP($E34,'BDEW-Standard'!$B$3:$M$158,K$9,0),7)</f>
        <v>0.15496599999999999</v>
      </c>
      <c r="L34" s="334">
        <f>ROUND(VLOOKUP($E34,'BDEW-Standard'!$B$3:$M$158,L$9,0),1)</f>
        <v>40</v>
      </c>
      <c r="M34" s="273">
        <f>ROUND(VLOOKUP($E34,'BDEW-Standard'!$B$3:$M$158,M$9,0),7)</f>
        <v>0</v>
      </c>
      <c r="N34" s="273">
        <f>ROUND(VLOOKUP($E34,'BDEW-Standard'!$B$3:$M$158,N$9,0),7)</f>
        <v>0</v>
      </c>
      <c r="O34" s="273">
        <f>ROUND(VLOOKUP($E34,'BDEW-Standard'!$B$3:$M$158,O$9,0),7)</f>
        <v>0</v>
      </c>
      <c r="P34" s="273">
        <f>ROUND(VLOOKUP($E34,'BDEW-Standard'!$B$3:$M$158,P$9,0),7)</f>
        <v>0</v>
      </c>
      <c r="Q34" s="335">
        <f t="shared" si="1"/>
        <v>0.97302438504000599</v>
      </c>
      <c r="R34" s="274">
        <f>ROUND(VLOOKUP(MID($E34,4,3),'Wochentag F(WT)'!$B$7:$J$22,R$9,0),4)</f>
        <v>1.03</v>
      </c>
      <c r="S34" s="274">
        <f>ROUND(VLOOKUP(MID($E34,4,3),'Wochentag F(WT)'!$B$7:$J$22,S$9,0),4)</f>
        <v>1.03</v>
      </c>
      <c r="T34" s="274">
        <f>ROUND(VLOOKUP(MID($E34,4,3),'Wochentag F(WT)'!$B$7:$J$22,T$9,0),4)</f>
        <v>1.02</v>
      </c>
      <c r="U34" s="274">
        <f>ROUND(VLOOKUP(MID($E34,4,3),'Wochentag F(WT)'!$B$7:$J$22,U$9,0),4)</f>
        <v>1.03</v>
      </c>
      <c r="V34" s="274">
        <f>ROUND(VLOOKUP(MID($E34,4,3),'Wochentag F(WT)'!$B$7:$J$22,V$9,0),4)</f>
        <v>1.01</v>
      </c>
      <c r="W34" s="274">
        <f>ROUND(VLOOKUP(MID($E34,4,3),'Wochentag F(WT)'!$B$7:$J$22,W$9,0),4)</f>
        <v>0.93</v>
      </c>
      <c r="X34" s="275">
        <f t="shared" ref="X34:X35" si="6">7-SUM(R34:W34)</f>
        <v>0.95000000000000018</v>
      </c>
      <c r="Y34" s="289"/>
    </row>
    <row r="35" spans="2:25" s="142" customFormat="1">
      <c r="B35" s="143">
        <v>24</v>
      </c>
      <c r="C35" s="144" t="str">
        <f t="shared" si="0"/>
        <v>Neuffen</v>
      </c>
      <c r="D35" s="62" t="s">
        <v>246</v>
      </c>
      <c r="E35" s="165" t="s">
        <v>663</v>
      </c>
      <c r="F35" s="293" t="str">
        <f>VLOOKUP($E35,'BDEW-Standard'!$B$3:$M$158,F$9,0)</f>
        <v>WA4</v>
      </c>
      <c r="H35" s="273">
        <f>ROUND(VLOOKUP($E35,'BDEW-Standard'!$B$3:$M$158,H$9,0),7)</f>
        <v>1.0535874999999999</v>
      </c>
      <c r="I35" s="273">
        <f>ROUND(VLOOKUP($E35,'BDEW-Standard'!$B$3:$M$158,I$9,0),7)</f>
        <v>-35.299999999999997</v>
      </c>
      <c r="J35" s="273">
        <f>ROUND(VLOOKUP($E35,'BDEW-Standard'!$B$3:$M$158,J$9,0),7)</f>
        <v>4.8662747</v>
      </c>
      <c r="K35" s="273">
        <f>ROUND(VLOOKUP($E35,'BDEW-Standard'!$B$3:$M$158,K$9,0),7)</f>
        <v>0.68110420000000005</v>
      </c>
      <c r="L35" s="334">
        <f>ROUND(VLOOKUP($E35,'BDEW-Standard'!$B$3:$M$158,L$9,0),1)</f>
        <v>40</v>
      </c>
      <c r="M35" s="273">
        <f>ROUND(VLOOKUP($E35,'BDEW-Standard'!$B$3:$M$158,M$9,0),7)</f>
        <v>0</v>
      </c>
      <c r="N35" s="273">
        <f>ROUND(VLOOKUP($E35,'BDEW-Standard'!$B$3:$M$158,N$9,0),7)</f>
        <v>0</v>
      </c>
      <c r="O35" s="273">
        <f>ROUND(VLOOKUP($E35,'BDEW-Standard'!$B$3:$M$158,O$9,0),7)</f>
        <v>0</v>
      </c>
      <c r="P35" s="273">
        <f>ROUND(VLOOKUP($E35,'BDEW-Standard'!$B$3:$M$158,P$9,0),7)</f>
        <v>0</v>
      </c>
      <c r="Q35" s="335">
        <f t="shared" si="1"/>
        <v>1.0844348950990992</v>
      </c>
      <c r="R35" s="274">
        <f>ROUND(VLOOKUP(MID($E35,4,3),'Wochentag F(WT)'!$B$7:$J$22,R$9,0),4)</f>
        <v>1.2457</v>
      </c>
      <c r="S35" s="274">
        <f>ROUND(VLOOKUP(MID($E35,4,3),'Wochentag F(WT)'!$B$7:$J$22,S$9,0),4)</f>
        <v>1.2615000000000001</v>
      </c>
      <c r="T35" s="274">
        <f>ROUND(VLOOKUP(MID($E35,4,3),'Wochentag F(WT)'!$B$7:$J$22,T$9,0),4)</f>
        <v>1.2706999999999999</v>
      </c>
      <c r="U35" s="274">
        <f>ROUND(VLOOKUP(MID($E35,4,3),'Wochentag F(WT)'!$B$7:$J$22,U$9,0),4)</f>
        <v>1.2430000000000001</v>
      </c>
      <c r="V35" s="274">
        <f>ROUND(VLOOKUP(MID($E35,4,3),'Wochentag F(WT)'!$B$7:$J$22,V$9,0),4)</f>
        <v>1.1275999999999999</v>
      </c>
      <c r="W35" s="274">
        <f>ROUND(VLOOKUP(MID($E35,4,3),'Wochentag F(WT)'!$B$7:$J$22,W$9,0),4)</f>
        <v>0.38769999999999999</v>
      </c>
      <c r="X35" s="275">
        <f t="shared" si="6"/>
        <v>0.46379999999999999</v>
      </c>
      <c r="Y35" s="289"/>
    </row>
    <row r="36" spans="2:25" s="142" customFormat="1">
      <c r="B36" s="143">
        <v>25</v>
      </c>
      <c r="C36" s="144" t="str">
        <f t="shared" si="0"/>
        <v>Neuffen</v>
      </c>
      <c r="D36" s="62"/>
      <c r="E36" s="165"/>
      <c r="F36" s="293"/>
      <c r="H36" s="273"/>
      <c r="I36" s="273"/>
      <c r="J36" s="273"/>
      <c r="K36" s="273"/>
      <c r="L36" s="334"/>
      <c r="M36" s="273"/>
      <c r="N36" s="273"/>
      <c r="O36" s="273"/>
      <c r="P36" s="273"/>
      <c r="Q36" s="335"/>
      <c r="R36" s="274"/>
      <c r="S36" s="274"/>
      <c r="T36" s="274"/>
      <c r="U36" s="274"/>
      <c r="V36" s="274"/>
      <c r="W36" s="274"/>
      <c r="X36" s="275"/>
      <c r="Y36" s="289"/>
    </row>
    <row r="37" spans="2:25" s="142" customFormat="1">
      <c r="B37" s="143">
        <v>26</v>
      </c>
      <c r="C37" s="144" t="str">
        <f t="shared" si="0"/>
        <v>Neuffen</v>
      </c>
      <c r="D37" s="62"/>
      <c r="E37" s="165"/>
      <c r="F37" s="293"/>
      <c r="H37" s="273"/>
      <c r="I37" s="273"/>
      <c r="J37" s="273"/>
      <c r="K37" s="273"/>
      <c r="L37" s="334"/>
      <c r="M37" s="273"/>
      <c r="N37" s="273"/>
      <c r="O37" s="273"/>
      <c r="P37" s="273"/>
      <c r="Q37" s="335"/>
      <c r="R37" s="274"/>
      <c r="S37" s="274"/>
      <c r="T37" s="274"/>
      <c r="U37" s="274"/>
      <c r="V37" s="274"/>
      <c r="W37" s="274"/>
      <c r="X37" s="275"/>
      <c r="Y37" s="289"/>
    </row>
    <row r="38" spans="2:25" s="142" customFormat="1">
      <c r="B38" s="143">
        <v>27</v>
      </c>
      <c r="C38" s="144" t="str">
        <f t="shared" si="0"/>
        <v>Neuffen</v>
      </c>
      <c r="D38" s="62"/>
      <c r="E38" s="165"/>
      <c r="F38" s="293"/>
      <c r="H38" s="273"/>
      <c r="I38" s="273"/>
      <c r="J38" s="273"/>
      <c r="K38" s="273"/>
      <c r="L38" s="334"/>
      <c r="M38" s="273"/>
      <c r="N38" s="273"/>
      <c r="O38" s="273"/>
      <c r="P38" s="273"/>
      <c r="Q38" s="335"/>
      <c r="R38" s="274"/>
      <c r="S38" s="274"/>
      <c r="T38" s="274"/>
      <c r="U38" s="274"/>
      <c r="V38" s="274"/>
      <c r="W38" s="274"/>
      <c r="X38" s="275"/>
      <c r="Y38" s="289"/>
    </row>
    <row r="39" spans="2:25" s="142" customFormat="1">
      <c r="B39" s="143">
        <v>28</v>
      </c>
      <c r="C39" s="144" t="str">
        <f t="shared" si="0"/>
        <v>Neuffen</v>
      </c>
      <c r="D39" s="62"/>
      <c r="E39" s="165"/>
      <c r="F39" s="293"/>
      <c r="H39" s="273"/>
      <c r="I39" s="273"/>
      <c r="J39" s="273"/>
      <c r="K39" s="273"/>
      <c r="L39" s="334"/>
      <c r="M39" s="273"/>
      <c r="N39" s="273"/>
      <c r="O39" s="273"/>
      <c r="P39" s="273"/>
      <c r="Q39" s="335"/>
      <c r="R39" s="274"/>
      <c r="S39" s="274"/>
      <c r="T39" s="274"/>
      <c r="U39" s="274"/>
      <c r="V39" s="274"/>
      <c r="W39" s="274"/>
      <c r="X39" s="275"/>
      <c r="Y39" s="289"/>
    </row>
    <row r="40" spans="2:25" s="142" customFormat="1">
      <c r="B40" s="143">
        <v>29</v>
      </c>
      <c r="C40" s="144" t="str">
        <f t="shared" si="0"/>
        <v>Neuffen</v>
      </c>
      <c r="D40" s="62"/>
      <c r="E40" s="165"/>
      <c r="F40" s="293"/>
      <c r="H40" s="273"/>
      <c r="I40" s="273"/>
      <c r="J40" s="273"/>
      <c r="K40" s="273"/>
      <c r="L40" s="334"/>
      <c r="M40" s="273"/>
      <c r="N40" s="273"/>
      <c r="O40" s="273"/>
      <c r="P40" s="273"/>
      <c r="Q40" s="335"/>
      <c r="R40" s="274"/>
      <c r="S40" s="274"/>
      <c r="T40" s="274"/>
      <c r="U40" s="274"/>
      <c r="V40" s="274"/>
      <c r="W40" s="274"/>
      <c r="X40" s="275"/>
      <c r="Y40" s="289"/>
    </row>
    <row r="41" spans="2:25" s="142" customFormat="1">
      <c r="B41" s="143">
        <v>30</v>
      </c>
      <c r="C41" s="144" t="str">
        <f t="shared" si="0"/>
        <v>Neuffen</v>
      </c>
      <c r="D41" s="62"/>
      <c r="E41" s="165"/>
      <c r="F41" s="293"/>
      <c r="H41" s="273"/>
      <c r="I41" s="273"/>
      <c r="J41" s="273"/>
      <c r="K41" s="273"/>
      <c r="L41" s="334"/>
      <c r="M41" s="273"/>
      <c r="N41" s="273"/>
      <c r="O41" s="273"/>
      <c r="P41" s="273"/>
      <c r="Q41" s="335"/>
      <c r="R41" s="274"/>
      <c r="S41" s="274"/>
      <c r="T41" s="274"/>
      <c r="U41" s="274"/>
      <c r="V41" s="274"/>
      <c r="W41" s="274"/>
      <c r="X41" s="275"/>
      <c r="Y41" s="28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R31" sqref="R3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>Stadtwerke Neuffen AG</v>
      </c>
      <c r="D4" s="76"/>
      <c r="G4" s="76"/>
      <c r="I4" s="76"/>
      <c r="J4" s="77"/>
      <c r="M4" s="86" t="s">
        <v>532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Netzbetreiber!$D$28</f>
        <v>Neuffen</v>
      </c>
      <c r="D5" s="37"/>
      <c r="E5" s="76"/>
      <c r="F5" s="76"/>
      <c r="G5" s="76"/>
      <c r="I5" s="76"/>
      <c r="J5" s="76"/>
      <c r="K5" s="76"/>
      <c r="L5" s="76"/>
      <c r="M5" s="88" t="s">
        <v>502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 t="str">
        <f>Netzbetreiber!$D$11</f>
        <v>9870042700004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0" t="s">
        <v>456</v>
      </c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5" t="s">
        <v>576</v>
      </c>
      <c r="C10" s="356"/>
      <c r="D10" s="94">
        <v>2</v>
      </c>
      <c r="E10" s="95" t="str">
        <f>IF(ISERROR(HLOOKUP(E$11,$M$9:$AD$33,$D10,0)),"",HLOOKUP(E$11,$M$9:$AD$33,$D10,0))</f>
        <v/>
      </c>
      <c r="F10" s="353" t="s">
        <v>396</v>
      </c>
      <c r="G10" s="353"/>
      <c r="H10" s="353"/>
      <c r="I10" s="353"/>
      <c r="J10" s="353"/>
      <c r="K10" s="353"/>
      <c r="L10" s="354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0">
        <f>MIN(SUMPRODUCT($M$11:$AD$11,M12:AD12),1)</f>
        <v>1</v>
      </c>
      <c r="F12" s="297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36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1">
        <f t="shared" ref="E13:E33" si="0">MIN(SUMPRODUCT($M$11:$AD$11,M13:AD13),1)</f>
        <v>0</v>
      </c>
      <c r="F13" s="298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36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1">
        <f t="shared" si="0"/>
        <v>0</v>
      </c>
      <c r="F14" s="298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36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649</v>
      </c>
      <c r="C15" s="116"/>
      <c r="D15" s="111">
        <v>7</v>
      </c>
      <c r="E15" s="301">
        <f t="shared" si="0"/>
        <v>0</v>
      </c>
      <c r="F15" s="298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36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1">
        <f t="shared" si="0"/>
        <v>1</v>
      </c>
      <c r="F16" s="298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36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1">
        <f t="shared" si="0"/>
        <v>1</v>
      </c>
      <c r="F17" s="298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36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1">
        <f t="shared" si="0"/>
        <v>1</v>
      </c>
      <c r="F18" s="298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36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1">
        <f t="shared" si="0"/>
        <v>1</v>
      </c>
      <c r="F19" s="298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36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642</v>
      </c>
      <c r="C20" s="116"/>
      <c r="D20" s="111">
        <v>12</v>
      </c>
      <c r="E20" s="301">
        <f t="shared" si="0"/>
        <v>1</v>
      </c>
      <c r="F20" s="298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36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1">
        <f t="shared" si="0"/>
        <v>1</v>
      </c>
      <c r="F21" s="298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36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1">
        <f t="shared" si="0"/>
        <v>1</v>
      </c>
      <c r="F22" s="298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36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648</v>
      </c>
      <c r="C23" s="116"/>
      <c r="D23" s="111">
        <v>15</v>
      </c>
      <c r="E23" s="301">
        <f t="shared" si="0"/>
        <v>0</v>
      </c>
      <c r="F23" s="298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36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1">
        <f t="shared" si="0"/>
        <v>0</v>
      </c>
      <c r="F24" s="298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36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1">
        <f t="shared" si="0"/>
        <v>0</v>
      </c>
      <c r="F25" s="298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36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1">
        <f t="shared" si="0"/>
        <v>1</v>
      </c>
      <c r="F26" s="298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36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1">
        <f t="shared" si="0"/>
        <v>0</v>
      </c>
      <c r="F27" s="298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36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>
        <v>1</v>
      </c>
    </row>
    <row r="28" spans="2:30" ht="15">
      <c r="B28" s="115" t="s">
        <v>406</v>
      </c>
      <c r="C28" s="116"/>
      <c r="D28" s="111">
        <v>20</v>
      </c>
      <c r="E28" s="301">
        <f t="shared" si="0"/>
        <v>0</v>
      </c>
      <c r="F28" s="298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36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1">
        <f t="shared" si="0"/>
        <v>0</v>
      </c>
      <c r="F29" s="298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36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1">
        <f t="shared" si="0"/>
        <v>0</v>
      </c>
      <c r="F30" s="298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36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1">
        <f t="shared" si="0"/>
        <v>1</v>
      </c>
      <c r="F31" s="298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36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1">
        <f t="shared" si="0"/>
        <v>1</v>
      </c>
      <c r="F32" s="298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36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2">
        <f t="shared" si="0"/>
        <v>0</v>
      </c>
      <c r="F33" s="299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37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C143" sqref="C143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345</v>
      </c>
      <c r="B1" s="212">
        <v>42173</v>
      </c>
      <c r="D1" s="130" t="s">
        <v>452</v>
      </c>
      <c r="F1" s="213" t="s">
        <v>538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1" t="s">
        <v>645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453</v>
      </c>
      <c r="B1" s="127"/>
      <c r="D1" s="213" t="s">
        <v>538</v>
      </c>
    </row>
    <row r="2" spans="1:16">
      <c r="A2" s="233"/>
      <c r="B2" s="232" t="s">
        <v>454</v>
      </c>
    </row>
    <row r="3" spans="1:16" ht="20.100000000000001" customHeight="1">
      <c r="A3" s="357" t="s">
        <v>247</v>
      </c>
      <c r="B3" s="234" t="s">
        <v>85</v>
      </c>
      <c r="C3" s="235"/>
      <c r="D3" s="359" t="s">
        <v>455</v>
      </c>
      <c r="E3" s="360"/>
      <c r="F3" s="360"/>
      <c r="G3" s="360"/>
      <c r="H3" s="360"/>
      <c r="I3" s="360"/>
      <c r="J3" s="361"/>
      <c r="K3" s="236"/>
      <c r="L3" s="236"/>
      <c r="M3" s="236"/>
      <c r="N3" s="236"/>
      <c r="O3" s="237"/>
      <c r="P3" s="236"/>
    </row>
    <row r="4" spans="1:16" ht="20.100000000000001" customHeight="1">
      <c r="A4" s="358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Visockis, Claudia</cp:lastModifiedBy>
  <cp:lastPrinted>2015-03-20T22:59:10Z</cp:lastPrinted>
  <dcterms:created xsi:type="dcterms:W3CDTF">2015-01-15T05:25:41Z</dcterms:created>
  <dcterms:modified xsi:type="dcterms:W3CDTF">2017-02-15T09:09:31Z</dcterms:modified>
</cp:coreProperties>
</file>